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5192" windowHeight="6600"/>
  </bookViews>
  <sheets>
    <sheet name="2017" sheetId="4" r:id="rId1"/>
  </sheets>
  <definedNames>
    <definedName name="_xlnm.Print_Area" localSheetId="0">'2017'!$A$1:$BE$63</definedName>
  </definedNames>
  <calcPr calcId="124519"/>
</workbook>
</file>

<file path=xl/calcChain.xml><?xml version="1.0" encoding="utf-8"?>
<calcChain xmlns="http://schemas.openxmlformats.org/spreadsheetml/2006/main">
  <c r="R63" i="4"/>
  <c r="AI36"/>
  <c r="AI35"/>
  <c r="AI31"/>
  <c r="AI29"/>
  <c r="AI54"/>
  <c r="AI12"/>
  <c r="AI62"/>
  <c r="AI30"/>
  <c r="AI28"/>
  <c r="AI27"/>
  <c r="AI25"/>
  <c r="AI19"/>
  <c r="AI18"/>
  <c r="AI17"/>
  <c r="AI13"/>
  <c r="AI11"/>
  <c r="AI10"/>
  <c r="AI9"/>
  <c r="AI43"/>
  <c r="AI42"/>
  <c r="AI41"/>
  <c r="AI40"/>
  <c r="AI39"/>
  <c r="AI37"/>
  <c r="AI44"/>
  <c r="AI34"/>
  <c r="AI32"/>
  <c r="AI24"/>
  <c r="AI53"/>
  <c r="AI49"/>
  <c r="AI48"/>
  <c r="AI47"/>
  <c r="AI46"/>
  <c r="AI57"/>
  <c r="AI55"/>
  <c r="AI21"/>
  <c r="AI20"/>
  <c r="AI15"/>
  <c r="AI7"/>
  <c r="AI6"/>
  <c r="AI5"/>
  <c r="AI58"/>
  <c r="AI45"/>
  <c r="AN65"/>
  <c r="AQ47"/>
  <c r="AQ53"/>
  <c r="AL51"/>
  <c r="AL46"/>
  <c r="S48" l="1"/>
  <c r="AM65"/>
  <c r="B63"/>
  <c r="AJ47" s="1"/>
  <c r="AJ7" l="1"/>
  <c r="AJ55"/>
  <c r="AJ22"/>
  <c r="AJ17"/>
  <c r="AJ12"/>
  <c r="AJ6"/>
  <c r="AJ14"/>
  <c r="AJ28"/>
  <c r="AJ38"/>
  <c r="AJ49"/>
  <c r="AJ60"/>
  <c r="AJ30"/>
  <c r="AJ40"/>
  <c r="AJ61"/>
  <c r="AJ13"/>
  <c r="AJ26"/>
  <c r="AJ37"/>
  <c r="AJ48"/>
  <c r="AJ58"/>
  <c r="AJ41"/>
  <c r="AJ10"/>
  <c r="AJ25"/>
  <c r="AJ36"/>
  <c r="AJ46"/>
  <c r="AJ57"/>
  <c r="AJ16"/>
  <c r="AJ9"/>
  <c r="AJ24"/>
  <c r="AJ34"/>
  <c r="AJ45"/>
  <c r="AJ56"/>
  <c r="AJ18"/>
  <c r="AJ62"/>
  <c r="AJ29"/>
  <c r="AJ50"/>
  <c r="AJ8"/>
  <c r="AJ21"/>
  <c r="AJ33"/>
  <c r="AJ44"/>
  <c r="AJ54"/>
  <c r="AJ52"/>
  <c r="AJ4"/>
  <c r="AJ20"/>
  <c r="AJ32"/>
  <c r="AJ42"/>
  <c r="AJ53"/>
  <c r="AJ3"/>
  <c r="AJ5"/>
  <c r="AJ43"/>
  <c r="AJ23"/>
  <c r="AJ39"/>
  <c r="AJ19"/>
  <c r="AJ35"/>
  <c r="AJ51"/>
  <c r="AJ15"/>
  <c r="AJ31"/>
  <c r="AJ11"/>
  <c r="AJ27"/>
  <c r="AJ59"/>
  <c r="X72"/>
  <c r="X73" s="1"/>
  <c r="BD63"/>
  <c r="AQ63"/>
  <c r="AE63"/>
  <c r="AD63"/>
  <c r="AC63"/>
  <c r="AB63"/>
  <c r="AA63"/>
  <c r="Z63"/>
  <c r="Y63"/>
  <c r="X63"/>
  <c r="V63"/>
  <c r="U63"/>
  <c r="T63"/>
  <c r="S63"/>
  <c r="W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AI63"/>
  <c r="P63" l="1"/>
  <c r="AL63"/>
  <c r="BC50" l="1"/>
  <c r="AJ63"/>
  <c r="BC58"/>
  <c r="BC55"/>
  <c r="BC44"/>
  <c r="BC53"/>
  <c r="BC47"/>
  <c r="BC61"/>
  <c r="BC59"/>
  <c r="BC56"/>
  <c r="BC49"/>
  <c r="BC41"/>
  <c r="BC62"/>
  <c r="BC46"/>
  <c r="BC52"/>
  <c r="BC43" l="1"/>
  <c r="BC40" l="1"/>
  <c r="BC38"/>
  <c r="BC37" l="1"/>
  <c r="BC35"/>
  <c r="BC32" l="1"/>
  <c r="BC34"/>
  <c r="BC29" l="1"/>
  <c r="BC31"/>
  <c r="BC28" l="1"/>
  <c r="BC26"/>
  <c r="BC25" l="1"/>
  <c r="BC23"/>
  <c r="BC20" l="1"/>
  <c r="BC22"/>
  <c r="BC19" l="1"/>
  <c r="BC17"/>
  <c r="BC14" l="1"/>
  <c r="BC16"/>
  <c r="BC11" l="1"/>
  <c r="BC13"/>
  <c r="BC10" l="1"/>
  <c r="BC8"/>
  <c r="BC5"/>
  <c r="BC7" l="1"/>
  <c r="BC4"/>
  <c r="BC9"/>
  <c r="BC51"/>
  <c r="BC30"/>
  <c r="BC42"/>
  <c r="BC6"/>
  <c r="BC39"/>
  <c r="BC21"/>
  <c r="BC12"/>
  <c r="BC54"/>
  <c r="BC45"/>
  <c r="BC57"/>
  <c r="BC36"/>
  <c r="BC27"/>
  <c r="BC15"/>
  <c r="BC3" l="1"/>
  <c r="BC18"/>
  <c r="BC33"/>
  <c r="BC24"/>
  <c r="BC60"/>
  <c r="BC48"/>
  <c r="BC63" l="1"/>
</calcChain>
</file>

<file path=xl/sharedStrings.xml><?xml version="1.0" encoding="utf-8"?>
<sst xmlns="http://schemas.openxmlformats.org/spreadsheetml/2006/main" count="129" uniqueCount="118">
  <si>
    <t>Дом</t>
  </si>
  <si>
    <t>Мира,д.48/1</t>
  </si>
  <si>
    <t>ремонт кровли</t>
  </si>
  <si>
    <t>Зарплата обслуживающего персонала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</si>
  <si>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</si>
  <si>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</si>
  <si>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</si>
  <si>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</si>
  <si>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</si>
  <si>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</si>
  <si>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</si>
  <si>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</si>
  <si>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</si>
  <si>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</si>
  <si>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</si>
  <si>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</si>
  <si>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</si>
  <si>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</si>
  <si>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</si>
  <si>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</si>
  <si>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</si>
  <si>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</si>
  <si>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</si>
  <si>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</si>
  <si>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</si>
  <si>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</si>
  <si>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</si>
  <si>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</si>
  <si>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</si>
  <si>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</si>
  <si>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</si>
  <si>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</si>
  <si>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</si>
  <si>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</si>
  <si>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</si>
  <si>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</si>
  <si>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</si>
  <si>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</si>
  <si>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</si>
  <si>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</si>
  <si>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</si>
  <si>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</si>
  <si>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</si>
  <si>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</si>
  <si>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</si>
  <si>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</si>
  <si>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</si>
  <si>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</si>
  <si>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</si>
  <si>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</si>
  <si>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</si>
  <si>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</si>
  <si>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</si>
  <si>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</si>
  <si>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</si>
  <si>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</si>
  <si>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</si>
  <si>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</si>
  <si>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</si>
  <si>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</si>
  <si>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</si>
  <si>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</si>
  <si>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</si>
  <si>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 xml:space="preserve">кв. м </t>
  </si>
  <si>
    <t>Аварийно-сервисное обслуживание</t>
  </si>
  <si>
    <t>Уборка придомовой территории</t>
  </si>
  <si>
    <t>Вывоз мусора</t>
  </si>
  <si>
    <t>Ремонт швов</t>
  </si>
  <si>
    <t>Ремонт подъездов</t>
  </si>
  <si>
    <t>Текущий ремонт системы центрального отопления</t>
  </si>
  <si>
    <t>Восстановление опопления в подъездах</t>
  </si>
  <si>
    <t>Капитальный ремонт системы горячего водоснабжения</t>
  </si>
  <si>
    <t>Текущий ремонт системы горячего водоснабжения</t>
  </si>
  <si>
    <t>Ремонт конструктивных элементов зданий (материальные затраты)</t>
  </si>
  <si>
    <t>Ремонт ступеней</t>
  </si>
  <si>
    <t>Ремонт балкона</t>
  </si>
  <si>
    <t>Установка подвальных дверей</t>
  </si>
  <si>
    <t>Обслуживние лифта</t>
  </si>
  <si>
    <t>Ресурсы по МКД</t>
  </si>
  <si>
    <t>Расходы на управление</t>
  </si>
  <si>
    <t>ИТОГО расходы</t>
  </si>
  <si>
    <t>Отопление,п.м.</t>
  </si>
  <si>
    <t>сумма</t>
  </si>
  <si>
    <t>Замена стояков,п.м.</t>
  </si>
  <si>
    <t>п.м.</t>
  </si>
  <si>
    <t>кв.м</t>
  </si>
  <si>
    <t>сумма(работа)</t>
  </si>
  <si>
    <t>кол-во</t>
  </si>
  <si>
    <t>Сумма (работа)</t>
  </si>
  <si>
    <t>пог. М</t>
  </si>
  <si>
    <t>Сумма</t>
  </si>
  <si>
    <t>шт</t>
  </si>
  <si>
    <t>ул.Есенина,д.7в</t>
  </si>
  <si>
    <t>Ремонт фасадов(цоколей)</t>
  </si>
  <si>
    <t>Установка пластиковых окон (подъезд)</t>
  </si>
  <si>
    <t>Затраты на благоустройство(материальные  затраты)</t>
  </si>
  <si>
    <t>Затраты на благоустройство(прочие прямые  затраты)</t>
  </si>
  <si>
    <t>Сальдо по затратам на 01.01.2015г.</t>
  </si>
  <si>
    <t>монтаж отливов</t>
  </si>
  <si>
    <t>Уборка лестничных клеток и мусоропроводов</t>
  </si>
  <si>
    <t xml:space="preserve"> </t>
  </si>
  <si>
    <t>Опиловка деревьев</t>
  </si>
  <si>
    <t>Услуги Расчетного центра</t>
  </si>
  <si>
    <t>Услуги по дератизации</t>
  </si>
  <si>
    <t>Обслуживание дымоыентиляционных каналов</t>
  </si>
  <si>
    <t>Перерасчет (стр30 форма 2.8)</t>
  </si>
  <si>
    <t>Получено целевых взносов (стр 13 форма 2.8)</t>
  </si>
  <si>
    <t>Работы по содержания и ремонту ВДО, вход.в общее имущество дома</t>
  </si>
  <si>
    <t>Работы по содержанию земельного участка</t>
  </si>
  <si>
    <t>Ресурсы по МКД(вода)</t>
  </si>
  <si>
    <t>Ресурсы по МКД(электроэнергия)</t>
  </si>
  <si>
    <t>Сальдо по затратам на 01.01.2016г.</t>
  </si>
  <si>
    <t>Работы по ремонту конструктивных элементов зданий</t>
  </si>
  <si>
    <t>Сальдо на 01.01.2017г.(стр.6 форма 2.8)</t>
  </si>
  <si>
    <t>Сальдо на 01.01.2018г. (стр.20 форма 2.8)</t>
  </si>
  <si>
    <t>Начислено по статьям  содержание жилья,вывоз ТБО,лифт за 2017г. (Стр.7,8 форма 2.8)</t>
  </si>
  <si>
    <t>Оплачено  за 2017г. (стр.15 форма 2.8)</t>
  </si>
  <si>
    <t>Техобслуживание ОДПУ</t>
  </si>
</sst>
</file>

<file path=xl/styles.xml><?xml version="1.0" encoding="utf-8"?>
<styleSheet xmlns="http://schemas.openxmlformats.org/spreadsheetml/2006/main">
  <numFmts count="2">
    <numFmt numFmtId="164" formatCode="0.00;[Red]\-0.00"/>
    <numFmt numFmtId="165" formatCode="0.00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color indexed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>
      <alignment horizontal="left"/>
    </xf>
  </cellStyleXfs>
  <cellXfs count="91">
    <xf numFmtId="0" fontId="0" fillId="0" borderId="0" xfId="0"/>
    <xf numFmtId="4" fontId="5" fillId="2" borderId="2" xfId="0" applyNumberFormat="1" applyFont="1" applyFill="1" applyBorder="1"/>
    <xf numFmtId="4" fontId="0" fillId="2" borderId="2" xfId="0" applyNumberFormat="1" applyFill="1" applyBorder="1"/>
    <xf numFmtId="4" fontId="0" fillId="2" borderId="2" xfId="0" applyNumberFormat="1" applyFont="1" applyFill="1" applyBorder="1"/>
    <xf numFmtId="4" fontId="0" fillId="2" borderId="2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2" borderId="2" xfId="0" applyFill="1" applyBorder="1" applyAlignment="1">
      <alignment vertical="justify"/>
    </xf>
    <xf numFmtId="2" fontId="0" fillId="2" borderId="7" xfId="0" applyNumberFormat="1" applyFill="1" applyBorder="1" applyAlignment="1">
      <alignment horizontal="center" textRotation="90" wrapText="1"/>
    </xf>
    <xf numFmtId="0" fontId="0" fillId="2" borderId="7" xfId="0" applyFont="1" applyFill="1" applyBorder="1" applyAlignment="1">
      <alignment vertical="justify" textRotation="90"/>
    </xf>
    <xf numFmtId="0" fontId="0" fillId="2" borderId="6" xfId="0" applyFill="1" applyBorder="1" applyAlignment="1">
      <alignment horizontal="center" vertical="justify"/>
    </xf>
    <xf numFmtId="0" fontId="5" fillId="2" borderId="8" xfId="0" applyFont="1" applyFill="1" applyBorder="1" applyAlignment="1">
      <alignment horizontal="center" vertical="justify"/>
    </xf>
    <xf numFmtId="0" fontId="0" fillId="2" borderId="8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justify"/>
    </xf>
    <xf numFmtId="0" fontId="0" fillId="2" borderId="7" xfId="0" applyFill="1" applyBorder="1" applyAlignment="1">
      <alignment horizontal="center" vertical="justify"/>
    </xf>
    <xf numFmtId="0" fontId="0" fillId="2" borderId="2" xfId="0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2" fontId="0" fillId="2" borderId="7" xfId="0" applyNumberFormat="1" applyFill="1" applyBorder="1" applyAlignment="1">
      <alignment horizontal="distributed" vertical="justify" wrapText="1"/>
    </xf>
    <xf numFmtId="2" fontId="0" fillId="2" borderId="7" xfId="0" applyNumberFormat="1" applyFill="1" applyBorder="1" applyAlignment="1">
      <alignment horizontal="distributed" vertical="justify" textRotation="90" wrapText="1"/>
    </xf>
    <xf numFmtId="0" fontId="0" fillId="2" borderId="6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center" vertical="top"/>
    </xf>
    <xf numFmtId="0" fontId="0" fillId="2" borderId="6" xfId="0" applyFont="1" applyFill="1" applyBorder="1" applyAlignment="1">
      <alignment horizontal="center" vertical="justify"/>
    </xf>
    <xf numFmtId="0" fontId="0" fillId="2" borderId="8" xfId="0" applyFont="1" applyFill="1" applyBorder="1" applyAlignment="1">
      <alignment horizontal="center" vertical="justify"/>
    </xf>
    <xf numFmtId="0" fontId="0" fillId="2" borderId="2" xfId="0" applyFont="1" applyFill="1" applyBorder="1" applyAlignment="1">
      <alignment horizontal="center" vertical="justify"/>
    </xf>
    <xf numFmtId="0" fontId="0" fillId="2" borderId="5" xfId="0" applyFont="1" applyFill="1" applyBorder="1" applyAlignment="1">
      <alignment horizontal="center" vertical="justify"/>
    </xf>
    <xf numFmtId="0" fontId="0" fillId="2" borderId="6" xfId="0" applyFont="1" applyFill="1" applyBorder="1" applyAlignment="1">
      <alignment horizontal="center" vertical="justify"/>
    </xf>
    <xf numFmtId="0" fontId="5" fillId="2" borderId="7" xfId="0" applyFont="1" applyFill="1" applyBorder="1" applyAlignment="1">
      <alignment vertical="justify" textRotation="90"/>
    </xf>
    <xf numFmtId="0" fontId="5" fillId="2" borderId="7" xfId="0" applyFont="1" applyFill="1" applyBorder="1" applyAlignment="1">
      <alignment textRotation="90"/>
    </xf>
    <xf numFmtId="0" fontId="0" fillId="2" borderId="7" xfId="0" applyFill="1" applyBorder="1" applyAlignment="1">
      <alignment horizontal="center" vertical="justify" textRotation="90" wrapText="1"/>
    </xf>
    <xf numFmtId="0" fontId="0" fillId="2" borderId="7" xfId="0" applyFont="1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2" fontId="0" fillId="2" borderId="7" xfId="0" applyNumberFormat="1" applyFont="1" applyFill="1" applyBorder="1" applyAlignment="1">
      <alignment horizontal="center" vertical="center" textRotation="90"/>
    </xf>
    <xf numFmtId="2" fontId="5" fillId="2" borderId="7" xfId="0" applyNumberFormat="1" applyFont="1" applyFill="1" applyBorder="1" applyAlignment="1">
      <alignment vertical="justify"/>
    </xf>
    <xf numFmtId="0" fontId="0" fillId="2" borderId="7" xfId="0" applyFill="1" applyBorder="1" applyAlignment="1">
      <alignment horizontal="center" vertical="center" wrapText="1"/>
    </xf>
    <xf numFmtId="2" fontId="0" fillId="2" borderId="7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/>
    <xf numFmtId="0" fontId="0" fillId="2" borderId="0" xfId="0" applyFill="1"/>
    <xf numFmtId="2" fontId="0" fillId="2" borderId="4" xfId="0" applyNumberFormat="1" applyFill="1" applyBorder="1" applyAlignment="1">
      <alignment horizontal="center" textRotation="90" wrapText="1"/>
    </xf>
    <xf numFmtId="0" fontId="0" fillId="2" borderId="4" xfId="0" applyFont="1" applyFill="1" applyBorder="1" applyAlignment="1">
      <alignment vertical="justify" textRotation="90"/>
    </xf>
    <xf numFmtId="0" fontId="0" fillId="2" borderId="4" xfId="0" applyFill="1" applyBorder="1" applyAlignment="1">
      <alignment textRotation="90"/>
    </xf>
    <xf numFmtId="0" fontId="0" fillId="2" borderId="4" xfId="0" applyFill="1" applyBorder="1" applyAlignment="1"/>
    <xf numFmtId="2" fontId="5" fillId="2" borderId="4" xfId="0" applyNumberFormat="1" applyFont="1" applyFill="1" applyBorder="1" applyAlignment="1">
      <alignment horizontal="distributed" vertical="justify" wrapText="1"/>
    </xf>
    <xf numFmtId="2" fontId="5" fillId="2" borderId="4" xfId="0" applyNumberFormat="1" applyFont="1" applyFill="1" applyBorder="1" applyAlignment="1">
      <alignment horizontal="distributed" vertical="justify" textRotation="90" wrapText="1"/>
    </xf>
    <xf numFmtId="0" fontId="0" fillId="2" borderId="2" xfId="0" applyFont="1" applyFill="1" applyBorder="1" applyAlignment="1">
      <alignment textRotation="90"/>
    </xf>
    <xf numFmtId="0" fontId="0" fillId="2" borderId="2" xfId="0" applyFont="1" applyFill="1" applyBorder="1" applyAlignment="1">
      <alignment vertical="justify" textRotation="90"/>
    </xf>
    <xf numFmtId="0" fontId="0" fillId="2" borderId="4" xfId="0" applyFont="1" applyFill="1" applyBorder="1" applyAlignment="1">
      <alignment textRotation="90"/>
    </xf>
    <xf numFmtId="0" fontId="5" fillId="2" borderId="4" xfId="0" applyFont="1" applyFill="1" applyBorder="1" applyAlignment="1">
      <alignment vertical="justify" textRotation="90"/>
    </xf>
    <xf numFmtId="0" fontId="5" fillId="2" borderId="4" xfId="0" applyFont="1" applyFill="1" applyBorder="1" applyAlignment="1">
      <alignment textRotation="90"/>
    </xf>
    <xf numFmtId="0" fontId="0" fillId="2" borderId="4" xfId="0" applyFill="1" applyBorder="1" applyAlignment="1">
      <alignment horizontal="center" vertical="justify" textRotation="90" wrapText="1"/>
    </xf>
    <xf numFmtId="0" fontId="5" fillId="2" borderId="4" xfId="0" applyFont="1" applyFill="1" applyBorder="1" applyAlignment="1">
      <alignment horizontal="center" vertical="center" textRotation="90"/>
    </xf>
    <xf numFmtId="2" fontId="5" fillId="2" borderId="4" xfId="0" applyNumberFormat="1" applyFont="1" applyFill="1" applyBorder="1" applyAlignment="1">
      <alignment horizontal="center" vertical="center" textRotation="90"/>
    </xf>
    <xf numFmtId="2" fontId="5" fillId="2" borderId="4" xfId="0" applyNumberFormat="1" applyFont="1" applyFill="1" applyBorder="1" applyAlignment="1">
      <alignment vertical="justify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4" fontId="1" fillId="2" borderId="2" xfId="0" applyNumberFormat="1" applyFont="1" applyFill="1" applyBorder="1"/>
    <xf numFmtId="4" fontId="5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/>
    <xf numFmtId="4" fontId="0" fillId="2" borderId="0" xfId="0" applyNumberFormat="1" applyFill="1" applyBorder="1"/>
    <xf numFmtId="4" fontId="0" fillId="2" borderId="0" xfId="0" applyNumberFormat="1" applyFill="1"/>
    <xf numFmtId="4" fontId="0" fillId="2" borderId="2" xfId="0" applyNumberFormat="1" applyFont="1" applyFill="1" applyBorder="1" applyAlignment="1">
      <alignment horizontal="center"/>
    </xf>
    <xf numFmtId="4" fontId="2" fillId="2" borderId="5" xfId="0" applyNumberFormat="1" applyFont="1" applyFill="1" applyBorder="1"/>
    <xf numFmtId="4" fontId="8" fillId="2" borderId="2" xfId="2" applyNumberFormat="1" applyFont="1" applyFill="1" applyBorder="1" applyAlignment="1">
      <alignment horizontal="right" vertical="center"/>
    </xf>
    <xf numFmtId="4" fontId="0" fillId="2" borderId="0" xfId="0" applyNumberFormat="1" applyFont="1" applyFill="1"/>
    <xf numFmtId="4" fontId="0" fillId="2" borderId="2" xfId="0" applyNumberFormat="1" applyFill="1" applyBorder="1" applyProtection="1">
      <protection hidden="1"/>
    </xf>
    <xf numFmtId="0" fontId="0" fillId="2" borderId="2" xfId="0" applyFont="1" applyFill="1" applyBorder="1"/>
    <xf numFmtId="4" fontId="8" fillId="2" borderId="2" xfId="0" applyNumberFormat="1" applyFont="1" applyFill="1" applyBorder="1" applyAlignment="1">
      <alignment horizontal="center"/>
    </xf>
    <xf numFmtId="4" fontId="0" fillId="2" borderId="5" xfId="0" applyNumberFormat="1" applyFont="1" applyFill="1" applyBorder="1"/>
    <xf numFmtId="4" fontId="0" fillId="2" borderId="5" xfId="0" applyNumberFormat="1" applyFont="1" applyFill="1" applyBorder="1" applyAlignment="1">
      <alignment horizontal="center"/>
    </xf>
    <xf numFmtId="4" fontId="0" fillId="2" borderId="0" xfId="0" applyNumberFormat="1" applyFont="1" applyFill="1" applyBorder="1"/>
    <xf numFmtId="0" fontId="0" fillId="2" borderId="0" xfId="0" applyFont="1" applyFill="1" applyBorder="1"/>
    <xf numFmtId="0" fontId="0" fillId="2" borderId="0" xfId="0" applyFont="1" applyFill="1"/>
    <xf numFmtId="2" fontId="0" fillId="2" borderId="0" xfId="0" applyNumberFormat="1" applyFont="1" applyFill="1"/>
    <xf numFmtId="0" fontId="0" fillId="2" borderId="3" xfId="0" applyFill="1" applyBorder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  <xf numFmtId="0" fontId="2" fillId="2" borderId="0" xfId="0" applyFont="1" applyFill="1"/>
    <xf numFmtId="2" fontId="5" fillId="2" borderId="0" xfId="0" applyNumberFormat="1" applyFont="1" applyFill="1"/>
    <xf numFmtId="0" fontId="5" fillId="2" borderId="0" xfId="0" applyFont="1" applyFill="1" applyAlignment="1">
      <alignment horizontal="center"/>
    </xf>
    <xf numFmtId="164" fontId="4" fillId="2" borderId="0" xfId="3" applyNumberFormat="1" applyFont="1" applyFill="1" applyBorder="1" applyAlignment="1">
      <alignment horizontal="right" vertical="top" wrapText="1"/>
    </xf>
    <xf numFmtId="2" fontId="0" fillId="2" borderId="0" xfId="0" applyNumberFormat="1" applyFill="1"/>
    <xf numFmtId="165" fontId="5" fillId="2" borderId="0" xfId="0" applyNumberFormat="1" applyFont="1" applyFill="1"/>
    <xf numFmtId="4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4" fontId="7" fillId="2" borderId="1" xfId="1" applyNumberFormat="1" applyFont="1" applyFill="1" applyBorder="1" applyAlignment="1">
      <alignment horizontal="right" vertical="top" wrapText="1"/>
    </xf>
    <xf numFmtId="2" fontId="9" fillId="2" borderId="0" xfId="0" applyNumberFormat="1" applyFont="1" applyFill="1"/>
  </cellXfs>
  <cellStyles count="4">
    <cellStyle name="Обычный" xfId="0" builtinId="0"/>
    <cellStyle name="Обычный_ЖЭСК I " xfId="1"/>
    <cellStyle name="Обычный_ЖЭСК II " xfId="2"/>
    <cellStyle name="Обычный_Лист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K82"/>
  <sheetViews>
    <sheetView tabSelected="1" view="pageBreakPreview" zoomScaleSheetLayoutView="100" workbookViewId="0">
      <pane xSplit="2" ySplit="2" topLeftCell="AL3" activePane="bottomRight" state="frozen"/>
      <selection pane="topRight" activeCell="C1" sqref="C1"/>
      <selection pane="bottomLeft" activeCell="A4" sqref="A4"/>
      <selection pane="bottomRight" activeCell="AC5" sqref="AC5"/>
    </sheetView>
  </sheetViews>
  <sheetFormatPr defaultRowHeight="13.2"/>
  <cols>
    <col min="1" max="1" width="23" style="39" bestFit="1" customWidth="1"/>
    <col min="2" max="2" width="12.5546875" style="39" customWidth="1"/>
    <col min="3" max="3" width="12" style="78" customWidth="1"/>
    <col min="4" max="4" width="12.33203125" style="75" bestFit="1" customWidth="1"/>
    <col min="5" max="10" width="9.5546875" style="79" hidden="1" customWidth="1"/>
    <col min="11" max="11" width="11.33203125" style="79" hidden="1" customWidth="1"/>
    <col min="12" max="15" width="9.5546875" style="79" hidden="1" customWidth="1"/>
    <col min="16" max="16" width="10.5546875" style="79" hidden="1" customWidth="1"/>
    <col min="17" max="17" width="10.5546875" style="79" customWidth="1"/>
    <col min="18" max="18" width="8.33203125" style="75" customWidth="1"/>
    <col min="19" max="19" width="10.6640625" style="75" bestFit="1" customWidth="1"/>
    <col min="20" max="20" width="7" style="75" hidden="1" customWidth="1"/>
    <col min="21" max="21" width="12.33203125" style="75" hidden="1" customWidth="1"/>
    <col min="22" max="22" width="8.33203125" style="75" customWidth="1"/>
    <col min="23" max="23" width="10.33203125" style="75" customWidth="1"/>
    <col min="24" max="28" width="9.5546875" style="75" hidden="1" customWidth="1"/>
    <col min="29" max="31" width="9.5546875" style="75" customWidth="1"/>
    <col min="32" max="32" width="13.109375" style="79" customWidth="1"/>
    <col min="33" max="33" width="11.6640625" style="79" bestFit="1" customWidth="1"/>
    <col min="34" max="38" width="11.88671875" style="79" customWidth="1"/>
    <col min="39" max="39" width="11.6640625" style="79" customWidth="1"/>
    <col min="40" max="40" width="9.6640625" style="79" customWidth="1"/>
    <col min="41" max="41" width="13.88671875" style="79" customWidth="1"/>
    <col min="42" max="42" width="11.88671875" style="79" customWidth="1"/>
    <col min="43" max="43" width="10.44140625" style="79" customWidth="1"/>
    <col min="44" max="44" width="12.88671875" style="79" customWidth="1"/>
    <col min="45" max="45" width="10.44140625" style="79" customWidth="1"/>
    <col min="46" max="46" width="11.88671875" style="82" customWidth="1"/>
    <col min="47" max="47" width="14" style="79" customWidth="1"/>
    <col min="48" max="48" width="12.33203125" style="79" hidden="1" customWidth="1"/>
    <col min="49" max="49" width="15.44140625" style="82" bestFit="1" customWidth="1"/>
    <col min="50" max="50" width="14.33203125" style="79" customWidth="1"/>
    <col min="51" max="51" width="10.6640625" style="83" customWidth="1"/>
    <col min="52" max="52" width="11.5546875" style="83" customWidth="1"/>
    <col min="53" max="54" width="13.5546875" style="79" customWidth="1"/>
    <col min="55" max="56" width="13.5546875" style="79" hidden="1" customWidth="1"/>
    <col min="57" max="59" width="12.44140625" style="79" customWidth="1"/>
    <col min="60" max="60" width="8.88671875" style="39"/>
    <col min="61" max="61" width="14.88671875" style="39" customWidth="1"/>
    <col min="62" max="62" width="12.6640625" style="39" bestFit="1" customWidth="1"/>
    <col min="63" max="63" width="11.6640625" style="39" bestFit="1" customWidth="1"/>
    <col min="64" max="16384" width="8.88671875" style="39"/>
  </cols>
  <sheetData>
    <row r="1" spans="1:63" ht="87.75" customHeight="1">
      <c r="A1" s="7" t="s">
        <v>0</v>
      </c>
      <c r="B1" s="7" t="s">
        <v>63</v>
      </c>
      <c r="C1" s="8" t="s">
        <v>107</v>
      </c>
      <c r="D1" s="9" t="s">
        <v>64</v>
      </c>
      <c r="E1" s="10" t="s">
        <v>69</v>
      </c>
      <c r="F1" s="11"/>
      <c r="G1" s="12"/>
      <c r="H1" s="12"/>
      <c r="I1" s="12"/>
      <c r="J1" s="13"/>
      <c r="K1" s="14" t="s">
        <v>70</v>
      </c>
      <c r="L1" s="15" t="s">
        <v>71</v>
      </c>
      <c r="M1" s="16"/>
      <c r="N1" s="15" t="s">
        <v>72</v>
      </c>
      <c r="O1" s="16"/>
      <c r="P1" s="17" t="s">
        <v>73</v>
      </c>
      <c r="Q1" s="18" t="s">
        <v>112</v>
      </c>
      <c r="R1" s="19" t="s">
        <v>2</v>
      </c>
      <c r="S1" s="20"/>
      <c r="T1" s="21" t="s">
        <v>68</v>
      </c>
      <c r="U1" s="22"/>
      <c r="V1" s="23" t="s">
        <v>67</v>
      </c>
      <c r="W1" s="23"/>
      <c r="X1" s="21" t="s">
        <v>93</v>
      </c>
      <c r="Y1" s="24"/>
      <c r="Z1" s="25" t="s">
        <v>98</v>
      </c>
      <c r="AA1" s="25" t="s">
        <v>74</v>
      </c>
      <c r="AB1" s="25" t="s">
        <v>75</v>
      </c>
      <c r="AC1" s="23" t="s">
        <v>76</v>
      </c>
      <c r="AD1" s="23"/>
      <c r="AE1" s="9" t="s">
        <v>94</v>
      </c>
      <c r="AF1" s="26" t="s">
        <v>65</v>
      </c>
      <c r="AG1" s="27" t="s">
        <v>66</v>
      </c>
      <c r="AH1" s="28" t="s">
        <v>99</v>
      </c>
      <c r="AI1" s="28" t="s">
        <v>95</v>
      </c>
      <c r="AJ1" s="28" t="s">
        <v>96</v>
      </c>
      <c r="AK1" s="28" t="s">
        <v>108</v>
      </c>
      <c r="AL1" s="28" t="s">
        <v>101</v>
      </c>
      <c r="AM1" s="29" t="s">
        <v>104</v>
      </c>
      <c r="AN1" s="29" t="s">
        <v>103</v>
      </c>
      <c r="AO1" s="5" t="s">
        <v>77</v>
      </c>
      <c r="AP1" s="30" t="s">
        <v>117</v>
      </c>
      <c r="AQ1" s="5" t="s">
        <v>78</v>
      </c>
      <c r="AR1" s="30" t="s">
        <v>109</v>
      </c>
      <c r="AS1" s="30" t="s">
        <v>110</v>
      </c>
      <c r="AT1" s="31" t="s">
        <v>102</v>
      </c>
      <c r="AU1" s="30" t="s">
        <v>79</v>
      </c>
      <c r="AV1" s="26" t="s">
        <v>3</v>
      </c>
      <c r="AW1" s="32" t="s">
        <v>80</v>
      </c>
      <c r="AX1" s="33" t="s">
        <v>115</v>
      </c>
      <c r="AY1" s="33" t="s">
        <v>105</v>
      </c>
      <c r="AZ1" s="33" t="s">
        <v>106</v>
      </c>
      <c r="BA1" s="34" t="s">
        <v>116</v>
      </c>
      <c r="BB1" s="35" t="s">
        <v>114</v>
      </c>
      <c r="BC1" s="35" t="s">
        <v>111</v>
      </c>
      <c r="BD1" s="35" t="s">
        <v>97</v>
      </c>
      <c r="BE1" s="35" t="s">
        <v>113</v>
      </c>
      <c r="BF1" s="36"/>
      <c r="BG1" s="36"/>
      <c r="BH1" s="37"/>
      <c r="BI1" s="38"/>
      <c r="BJ1" s="38"/>
      <c r="BK1" s="38"/>
    </row>
    <row r="2" spans="1:63" ht="99" customHeight="1">
      <c r="A2" s="7"/>
      <c r="B2" s="7"/>
      <c r="C2" s="40"/>
      <c r="D2" s="41"/>
      <c r="E2" s="42" t="s">
        <v>81</v>
      </c>
      <c r="F2" s="42" t="s">
        <v>82</v>
      </c>
      <c r="G2" s="42" t="s">
        <v>83</v>
      </c>
      <c r="H2" s="42" t="s">
        <v>82</v>
      </c>
      <c r="I2" s="42"/>
      <c r="J2" s="42" t="s">
        <v>82</v>
      </c>
      <c r="K2" s="43"/>
      <c r="L2" s="42" t="s">
        <v>84</v>
      </c>
      <c r="M2" s="42" t="s">
        <v>82</v>
      </c>
      <c r="N2" s="42" t="s">
        <v>84</v>
      </c>
      <c r="O2" s="42" t="s">
        <v>82</v>
      </c>
      <c r="P2" s="44"/>
      <c r="Q2" s="45"/>
      <c r="R2" s="46" t="s">
        <v>85</v>
      </c>
      <c r="S2" s="46" t="s">
        <v>86</v>
      </c>
      <c r="T2" s="47" t="s">
        <v>87</v>
      </c>
      <c r="U2" s="47" t="s">
        <v>88</v>
      </c>
      <c r="V2" s="47" t="s">
        <v>89</v>
      </c>
      <c r="W2" s="46" t="s">
        <v>90</v>
      </c>
      <c r="X2" s="48" t="s">
        <v>85</v>
      </c>
      <c r="Y2" s="48" t="s">
        <v>82</v>
      </c>
      <c r="Z2" s="48" t="s">
        <v>82</v>
      </c>
      <c r="AA2" s="48" t="s">
        <v>85</v>
      </c>
      <c r="AB2" s="48" t="s">
        <v>82</v>
      </c>
      <c r="AC2" s="48" t="s">
        <v>91</v>
      </c>
      <c r="AD2" s="48" t="s">
        <v>82</v>
      </c>
      <c r="AE2" s="41"/>
      <c r="AF2" s="49"/>
      <c r="AG2" s="50"/>
      <c r="AH2" s="51"/>
      <c r="AI2" s="51"/>
      <c r="AJ2" s="51"/>
      <c r="AK2" s="51"/>
      <c r="AL2" s="51"/>
      <c r="AM2" s="52"/>
      <c r="AN2" s="6"/>
      <c r="AO2" s="6"/>
      <c r="AP2" s="52"/>
      <c r="AQ2" s="52"/>
      <c r="AR2" s="52"/>
      <c r="AS2" s="52"/>
      <c r="AT2" s="53"/>
      <c r="AU2" s="52"/>
      <c r="AV2" s="49"/>
      <c r="AW2" s="54"/>
      <c r="AX2" s="55"/>
      <c r="AY2" s="56"/>
      <c r="AZ2" s="56"/>
      <c r="BA2" s="57"/>
      <c r="BB2" s="35"/>
      <c r="BC2" s="35"/>
      <c r="BD2" s="35"/>
      <c r="BE2" s="35"/>
      <c r="BF2" s="36"/>
      <c r="BG2" s="36"/>
      <c r="BH2" s="38"/>
      <c r="BI2" s="38"/>
      <c r="BJ2" s="38"/>
      <c r="BK2" s="38"/>
    </row>
    <row r="3" spans="1:63">
      <c r="A3" s="58" t="s">
        <v>4</v>
      </c>
      <c r="B3" s="59">
        <v>2387.8000000000002</v>
      </c>
      <c r="C3" s="60">
        <v>64337.110606522809</v>
      </c>
      <c r="D3" s="3">
        <v>32524.328297683125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>
        <f>B3*P$66</f>
        <v>0</v>
      </c>
      <c r="Q3" s="1">
        <v>16123.494721020508</v>
      </c>
      <c r="R3" s="3"/>
      <c r="S3" s="3"/>
      <c r="T3" s="3"/>
      <c r="U3" s="3"/>
      <c r="V3" s="3">
        <v>386.2</v>
      </c>
      <c r="W3" s="3">
        <v>69516</v>
      </c>
      <c r="X3" s="3"/>
      <c r="Y3" s="3"/>
      <c r="Z3" s="3"/>
      <c r="AA3" s="3"/>
      <c r="AB3" s="3"/>
      <c r="AC3" s="3"/>
      <c r="AD3" s="3"/>
      <c r="AE3" s="3"/>
      <c r="AF3" s="1">
        <v>172484.16</v>
      </c>
      <c r="AG3" s="1">
        <v>43371.54</v>
      </c>
      <c r="AH3" s="1">
        <v>41764.629999999997</v>
      </c>
      <c r="AI3" s="1"/>
      <c r="AJ3" s="1">
        <f>B3*AJ$65</f>
        <v>0</v>
      </c>
      <c r="AK3" s="1">
        <v>16809.634438225996</v>
      </c>
      <c r="AL3" s="1"/>
      <c r="AM3" s="60">
        <v>1280.6532119361511</v>
      </c>
      <c r="AN3" s="1">
        <v>885.66894101884964</v>
      </c>
      <c r="AO3" s="1">
        <v>176122.56</v>
      </c>
      <c r="AP3" s="61"/>
      <c r="AQ3" s="61"/>
      <c r="AR3" s="61">
        <v>17645.460000000003</v>
      </c>
      <c r="AS3" s="61">
        <v>33996.379999999997</v>
      </c>
      <c r="AT3" s="1">
        <v>10146.696647535839</v>
      </c>
      <c r="AU3" s="1">
        <v>73084.522691857434</v>
      </c>
      <c r="AV3" s="1"/>
      <c r="AW3" s="1">
        <v>770092.83955580078</v>
      </c>
      <c r="AX3" s="2">
        <v>621325.78999999992</v>
      </c>
      <c r="AY3" s="4">
        <v>4180.7700000000004</v>
      </c>
      <c r="AZ3" s="4"/>
      <c r="BA3" s="2">
        <v>611460.02</v>
      </c>
      <c r="BB3" s="2">
        <v>29767.619999999995</v>
      </c>
      <c r="BC3" s="2">
        <f>BD3+BA3-AW3</f>
        <v>-214614.42955580074</v>
      </c>
      <c r="BD3" s="2">
        <v>-55981.61</v>
      </c>
      <c r="BE3" s="2">
        <v>19901.850000000093</v>
      </c>
      <c r="BF3" s="62"/>
      <c r="BG3" s="63"/>
      <c r="BH3" s="63"/>
      <c r="BI3" s="63"/>
      <c r="BJ3" s="63"/>
      <c r="BK3" s="63"/>
    </row>
    <row r="4" spans="1:63">
      <c r="A4" s="58" t="s">
        <v>60</v>
      </c>
      <c r="B4" s="1">
        <v>2147.3000000000002</v>
      </c>
      <c r="C4" s="60">
        <v>55377.453994214942</v>
      </c>
      <c r="D4" s="3">
        <v>29248.46727264217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>
        <f>B4*P$66</f>
        <v>0</v>
      </c>
      <c r="Q4" s="1">
        <v>14499.531038800291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>
        <v>45153.51</v>
      </c>
      <c r="AG4" s="1">
        <v>38036.519999999997</v>
      </c>
      <c r="AH4" s="1">
        <v>36552.67</v>
      </c>
      <c r="AI4" s="1">
        <v>382.5</v>
      </c>
      <c r="AJ4" s="1">
        <f>B4*AJ$65</f>
        <v>0</v>
      </c>
      <c r="AK4" s="1">
        <v>15499.062538404676</v>
      </c>
      <c r="AL4" s="1"/>
      <c r="AM4" s="60">
        <v>1151.6653999457649</v>
      </c>
      <c r="AN4" s="1">
        <v>796.4640744826936</v>
      </c>
      <c r="AO4" s="1">
        <v>154767.48000000001</v>
      </c>
      <c r="AP4" s="61"/>
      <c r="AQ4" s="61"/>
      <c r="AR4" s="61">
        <v>17668.03</v>
      </c>
      <c r="AS4" s="61">
        <v>57715.51</v>
      </c>
      <c r="AT4" s="1">
        <v>9124.7180296732167</v>
      </c>
      <c r="AU4" s="1">
        <v>65723.425570075167</v>
      </c>
      <c r="AV4" s="1"/>
      <c r="AW4" s="1">
        <v>541314.50791823887</v>
      </c>
      <c r="AX4" s="2">
        <v>565854.39000000013</v>
      </c>
      <c r="AY4" s="4">
        <v>9634.7000000000007</v>
      </c>
      <c r="AZ4" s="4"/>
      <c r="BA4" s="2">
        <v>534256.42999999993</v>
      </c>
      <c r="BB4" s="2">
        <v>128660.36000000022</v>
      </c>
      <c r="BC4" s="2">
        <f t="shared" ref="BC4:BC62" si="0">BD4+BA4-AW4</f>
        <v>79460.782081761048</v>
      </c>
      <c r="BD4" s="2">
        <v>86518.86</v>
      </c>
      <c r="BE4" s="2">
        <v>97062.400000000023</v>
      </c>
      <c r="BF4" s="62"/>
      <c r="BG4" s="63"/>
      <c r="BH4" s="63"/>
      <c r="BI4" s="63"/>
      <c r="BJ4" s="63"/>
      <c r="BK4" s="63"/>
    </row>
    <row r="5" spans="1:63">
      <c r="A5" s="58" t="s">
        <v>5</v>
      </c>
      <c r="B5" s="1">
        <v>2554.1</v>
      </c>
      <c r="C5" s="60">
        <v>62401.974002060429</v>
      </c>
      <c r="D5" s="3">
        <v>34789.5078754973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>B5*P$66</f>
        <v>0</v>
      </c>
      <c r="Q5" s="1">
        <v>18594.426780701262</v>
      </c>
      <c r="R5" s="6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1">
        <v>101410.04000000001</v>
      </c>
      <c r="AG5" s="1">
        <v>41300.76</v>
      </c>
      <c r="AH5" s="1">
        <v>39771.11</v>
      </c>
      <c r="AI5" s="1">
        <f>220</f>
        <v>220</v>
      </c>
      <c r="AJ5" s="1">
        <f>B5*AJ$65</f>
        <v>0</v>
      </c>
      <c r="AK5" s="1">
        <v>18200.353178102443</v>
      </c>
      <c r="AL5" s="1"/>
      <c r="AM5" s="60">
        <v>1369.8452000193163</v>
      </c>
      <c r="AN5" s="1">
        <v>947.35197347191706</v>
      </c>
      <c r="AO5" s="1">
        <v>177682.68</v>
      </c>
      <c r="AP5" s="61"/>
      <c r="AQ5" s="61"/>
      <c r="AR5" s="61">
        <v>20244.399999999998</v>
      </c>
      <c r="AS5" s="61">
        <v>32506.89</v>
      </c>
      <c r="AT5" s="1">
        <v>10853.37042778762</v>
      </c>
      <c r="AU5" s="1">
        <v>78174.54535860334</v>
      </c>
      <c r="AV5" s="1"/>
      <c r="AW5" s="1">
        <v>638247.25479624362</v>
      </c>
      <c r="AX5" s="2">
        <v>638076.94999999995</v>
      </c>
      <c r="AY5" s="4">
        <v>13020.35</v>
      </c>
      <c r="AZ5" s="4"/>
      <c r="BA5" s="2">
        <v>621359.29999999993</v>
      </c>
      <c r="BB5" s="2">
        <v>76452.370000000112</v>
      </c>
      <c r="BC5" s="2">
        <f t="shared" si="0"/>
        <v>-15389.754796243738</v>
      </c>
      <c r="BD5" s="2">
        <v>1498.2</v>
      </c>
      <c r="BE5" s="2">
        <v>59734.720000000088</v>
      </c>
      <c r="BF5" s="62"/>
      <c r="BG5" s="63"/>
      <c r="BH5" s="63"/>
      <c r="BI5" s="63"/>
      <c r="BJ5" s="63"/>
      <c r="BK5" s="63"/>
    </row>
    <row r="6" spans="1:63">
      <c r="A6" s="58" t="s">
        <v>6</v>
      </c>
      <c r="B6" s="1">
        <v>5632.3</v>
      </c>
      <c r="C6" s="60">
        <v>262106.67022661795</v>
      </c>
      <c r="D6" s="3">
        <v>76717.804787268891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>B6*P$66</f>
        <v>0</v>
      </c>
      <c r="Q6" s="1">
        <v>40977.8014235714</v>
      </c>
      <c r="R6" s="6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">
        <v>95234.29</v>
      </c>
      <c r="AG6" s="1">
        <v>76519.8</v>
      </c>
      <c r="AH6" s="1">
        <v>130085.35</v>
      </c>
      <c r="AI6" s="1">
        <f>175</f>
        <v>175</v>
      </c>
      <c r="AJ6" s="1">
        <f>B6*AJ$65</f>
        <v>0</v>
      </c>
      <c r="AK6" s="1">
        <v>39825.26553581551</v>
      </c>
      <c r="AL6" s="1"/>
      <c r="AM6" s="60">
        <v>3020.781927124543</v>
      </c>
      <c r="AN6" s="1">
        <v>2089.1000822935198</v>
      </c>
      <c r="AO6" s="1">
        <v>339124.8</v>
      </c>
      <c r="AP6" s="61"/>
      <c r="AQ6" s="61"/>
      <c r="AR6" s="61">
        <v>29440.43</v>
      </c>
      <c r="AS6" s="61">
        <v>74562.42</v>
      </c>
      <c r="AT6" s="1">
        <v>23933.84685816069</v>
      </c>
      <c r="AU6" s="1">
        <v>172390.46702292847</v>
      </c>
      <c r="AV6" s="1"/>
      <c r="AW6" s="1">
        <v>1366028.827863781</v>
      </c>
      <c r="AX6" s="2">
        <v>1196685.8600000001</v>
      </c>
      <c r="AY6" s="4">
        <v>3826.26</v>
      </c>
      <c r="AZ6" s="4"/>
      <c r="BA6" s="2">
        <v>1094479.28</v>
      </c>
      <c r="BB6" s="2">
        <v>344988.53</v>
      </c>
      <c r="BC6" s="2">
        <f>BD6+BA6-AW6</f>
        <v>-253344.60786378104</v>
      </c>
      <c r="BD6" s="2">
        <v>18204.939999999999</v>
      </c>
      <c r="BE6" s="2">
        <v>242781.94999999984</v>
      </c>
      <c r="BF6" s="62"/>
      <c r="BG6" s="63"/>
      <c r="BH6" s="63"/>
      <c r="BI6" s="63"/>
      <c r="BJ6" s="63"/>
      <c r="BK6" s="63"/>
    </row>
    <row r="7" spans="1:63">
      <c r="A7" s="58" t="s">
        <v>7</v>
      </c>
      <c r="B7" s="1">
        <v>6162.8</v>
      </c>
      <c r="C7" s="60">
        <v>165682.23566457775</v>
      </c>
      <c r="D7" s="3">
        <v>83943.76850362742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>B7*P$66</f>
        <v>0</v>
      </c>
      <c r="Q7" s="1">
        <v>50770.984951296246</v>
      </c>
      <c r="R7" s="6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">
        <v>170807.16</v>
      </c>
      <c r="AG7" s="1">
        <v>119298.3</v>
      </c>
      <c r="AH7" s="1">
        <v>102644.36</v>
      </c>
      <c r="AI7" s="1">
        <f>1235</f>
        <v>1235</v>
      </c>
      <c r="AJ7" s="1">
        <f>B7*AJ$65</f>
        <v>0</v>
      </c>
      <c r="AK7" s="1">
        <v>44619.879435421375</v>
      </c>
      <c r="AL7" s="1"/>
      <c r="AM7" s="60">
        <v>3305.3059781054158</v>
      </c>
      <c r="AN7" s="1">
        <v>6330.0900685614233</v>
      </c>
      <c r="AO7" s="1"/>
      <c r="AP7" s="61"/>
      <c r="AQ7" s="61"/>
      <c r="AR7" s="61">
        <v>28014.69</v>
      </c>
      <c r="AS7" s="61">
        <v>84238.52</v>
      </c>
      <c r="AT7" s="1">
        <v>26188.14896533791</v>
      </c>
      <c r="AU7" s="1">
        <v>188627.73115226527</v>
      </c>
      <c r="AV7" s="1"/>
      <c r="AW7" s="1">
        <v>1074471.1747191926</v>
      </c>
      <c r="AX7" s="2">
        <v>1133849.26</v>
      </c>
      <c r="AY7" s="4">
        <v>3688.6599999999889</v>
      </c>
      <c r="AZ7" s="4"/>
      <c r="BA7" s="2">
        <v>1126721.42</v>
      </c>
      <c r="BB7" s="2">
        <v>161217.62000000034</v>
      </c>
      <c r="BC7" s="2">
        <f t="shared" si="0"/>
        <v>82031.205280807335</v>
      </c>
      <c r="BD7" s="2">
        <v>29780.959999999999</v>
      </c>
      <c r="BE7" s="2">
        <v>154089.78000000026</v>
      </c>
      <c r="BF7" s="62"/>
      <c r="BG7" s="63"/>
      <c r="BH7" s="63"/>
      <c r="BI7" s="63"/>
      <c r="BJ7" s="63"/>
      <c r="BK7" s="63"/>
    </row>
    <row r="8" spans="1:63">
      <c r="A8" s="58" t="s">
        <v>8</v>
      </c>
      <c r="B8" s="1">
        <v>3219.8</v>
      </c>
      <c r="C8" s="60">
        <v>92112.178616668956</v>
      </c>
      <c r="D8" s="3">
        <v>43857.036708635613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>B8*P$66</f>
        <v>0</v>
      </c>
      <c r="Q8" s="1">
        <v>26341.531243295849</v>
      </c>
      <c r="R8" s="6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1">
        <v>134497.54999999999</v>
      </c>
      <c r="AG8" s="1">
        <v>57157.08</v>
      </c>
      <c r="AH8" s="1">
        <v>49177.68</v>
      </c>
      <c r="AI8" s="1"/>
      <c r="AJ8" s="1">
        <f>B8*AJ$65</f>
        <v>0</v>
      </c>
      <c r="AK8" s="1">
        <v>22666.748037607867</v>
      </c>
      <c r="AL8" s="1"/>
      <c r="AM8" s="60">
        <v>1726.8813182812712</v>
      </c>
      <c r="AN8" s="1">
        <v>1194.2695603871732</v>
      </c>
      <c r="AO8" s="1"/>
      <c r="AP8" s="61"/>
      <c r="AQ8" s="61"/>
      <c r="AR8" s="61">
        <v>13607.68</v>
      </c>
      <c r="AS8" s="61">
        <v>44243.199999999997</v>
      </c>
      <c r="AT8" s="1">
        <v>13682.19024446599</v>
      </c>
      <c r="AU8" s="1">
        <v>98549.93976180692</v>
      </c>
      <c r="AV8" s="1"/>
      <c r="AW8" s="1">
        <v>598813.96549114957</v>
      </c>
      <c r="AX8" s="2">
        <v>541781.99</v>
      </c>
      <c r="AY8" s="4">
        <v>2661.99</v>
      </c>
      <c r="AZ8" s="4"/>
      <c r="BA8" s="2">
        <v>523312.79</v>
      </c>
      <c r="BB8" s="2">
        <v>57101.94</v>
      </c>
      <c r="BC8" s="2">
        <f t="shared" si="0"/>
        <v>-18720.405491149635</v>
      </c>
      <c r="BD8" s="2">
        <v>56780.77</v>
      </c>
      <c r="BE8" s="2">
        <v>38632.739999999991</v>
      </c>
      <c r="BF8" s="62"/>
      <c r="BG8" s="63"/>
      <c r="BH8" s="63"/>
      <c r="BI8" s="63"/>
      <c r="BJ8" s="63"/>
      <c r="BK8" s="63"/>
    </row>
    <row r="9" spans="1:63">
      <c r="A9" s="58" t="s">
        <v>9</v>
      </c>
      <c r="B9" s="1">
        <v>11172.9</v>
      </c>
      <c r="C9" s="60">
        <v>319627.23110043502</v>
      </c>
      <c r="D9" s="3">
        <v>152186.55986145564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>B9*P$66</f>
        <v>0</v>
      </c>
      <c r="Q9" s="1">
        <v>86123.423389098753</v>
      </c>
      <c r="R9" s="64"/>
      <c r="S9" s="3"/>
      <c r="T9" s="3"/>
      <c r="U9" s="3"/>
      <c r="V9" s="3">
        <v>429</v>
      </c>
      <c r="W9" s="3">
        <v>79420</v>
      </c>
      <c r="X9" s="3"/>
      <c r="Y9" s="3"/>
      <c r="Z9" s="3"/>
      <c r="AA9" s="3"/>
      <c r="AB9" s="3"/>
      <c r="AC9" s="3"/>
      <c r="AD9" s="3"/>
      <c r="AE9" s="3"/>
      <c r="AF9" s="1">
        <v>321019.47000000003</v>
      </c>
      <c r="AG9" s="1">
        <v>210625.81</v>
      </c>
      <c r="AH9" s="1">
        <v>181729.1</v>
      </c>
      <c r="AI9" s="1">
        <f>21848.5+2545.23</f>
        <v>24393.73</v>
      </c>
      <c r="AJ9" s="1">
        <f>B9*AJ$65</f>
        <v>0</v>
      </c>
      <c r="AK9" s="1">
        <v>103048.71141169914</v>
      </c>
      <c r="AL9" s="1"/>
      <c r="AM9" s="60">
        <v>5992.3822228165764</v>
      </c>
      <c r="AN9" s="1">
        <v>4144.1873318994494</v>
      </c>
      <c r="AO9" s="1"/>
      <c r="AP9" s="61"/>
      <c r="AQ9" s="61"/>
      <c r="AR9" s="61">
        <v>50749.799999999996</v>
      </c>
      <c r="AS9" s="61">
        <v>3378.51</v>
      </c>
      <c r="AT9" s="1">
        <v>47478.024530217415</v>
      </c>
      <c r="AU9" s="1">
        <v>341974.22882312333</v>
      </c>
      <c r="AV9" s="1"/>
      <c r="AW9" s="1">
        <v>1907497.4386707458</v>
      </c>
      <c r="AX9" s="2">
        <v>1982664.6</v>
      </c>
      <c r="AY9" s="4">
        <v>7424.49</v>
      </c>
      <c r="AZ9" s="4"/>
      <c r="BA9" s="2">
        <v>1921301.76</v>
      </c>
      <c r="BB9" s="2">
        <v>385361.01000000047</v>
      </c>
      <c r="BC9" s="2">
        <f>BD9+BA9-AW9</f>
        <v>1343933.5813292542</v>
      </c>
      <c r="BD9" s="2">
        <v>1330129.26</v>
      </c>
      <c r="BE9" s="2">
        <v>323998.17000000016</v>
      </c>
      <c r="BF9" s="62"/>
      <c r="BG9" s="63"/>
      <c r="BH9" s="63"/>
      <c r="BI9" s="63"/>
      <c r="BJ9" s="63"/>
      <c r="BK9" s="63"/>
    </row>
    <row r="10" spans="1:63">
      <c r="A10" s="58" t="s">
        <v>10</v>
      </c>
      <c r="B10" s="1">
        <v>8825.2999999999993</v>
      </c>
      <c r="C10" s="60">
        <v>216698.83350353703</v>
      </c>
      <c r="D10" s="3">
        <v>120209.79752305169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>B10*P$66</f>
        <v>0</v>
      </c>
      <c r="Q10" s="1">
        <v>147541.16706735163</v>
      </c>
      <c r="R10" s="64">
        <v>870</v>
      </c>
      <c r="S10" s="3">
        <v>260438.68</v>
      </c>
      <c r="T10" s="3"/>
      <c r="U10" s="3"/>
      <c r="V10" s="3">
        <v>375.7</v>
      </c>
      <c r="W10" s="3">
        <v>67626</v>
      </c>
      <c r="X10" s="3"/>
      <c r="Y10" s="3"/>
      <c r="Z10" s="3"/>
      <c r="AA10" s="3"/>
      <c r="AB10" s="3"/>
      <c r="AC10" s="3"/>
      <c r="AD10" s="3"/>
      <c r="AE10" s="3"/>
      <c r="AF10" s="1">
        <v>198902.84</v>
      </c>
      <c r="AG10" s="1">
        <v>166827.66</v>
      </c>
      <c r="AH10" s="1">
        <v>143537.57999999999</v>
      </c>
      <c r="AI10" s="1">
        <f>1390+2016.17</f>
        <v>3406.17</v>
      </c>
      <c r="AJ10" s="1">
        <f>B10*AJ$65</f>
        <v>0</v>
      </c>
      <c r="AK10" s="1">
        <v>65534.516933443279</v>
      </c>
      <c r="AL10" s="1"/>
      <c r="AM10" s="60">
        <v>4733.2895515956579</v>
      </c>
      <c r="AN10" s="1">
        <v>3273.4291419606552</v>
      </c>
      <c r="AO10" s="1"/>
      <c r="AP10" s="61"/>
      <c r="AQ10" s="61"/>
      <c r="AR10" s="61">
        <v>12363.869999999999</v>
      </c>
      <c r="AS10" s="61">
        <v>44592.36</v>
      </c>
      <c r="AT10" s="1">
        <v>37502.153414648637</v>
      </c>
      <c r="AU10" s="1">
        <v>270120.12652334757</v>
      </c>
      <c r="AV10" s="1"/>
      <c r="AW10" s="1">
        <v>1759902.3036589364</v>
      </c>
      <c r="AX10" s="2">
        <v>1620236.92</v>
      </c>
      <c r="AY10" s="4">
        <v>797.61000000001513</v>
      </c>
      <c r="AZ10" s="4"/>
      <c r="BA10" s="2">
        <v>1582950.49</v>
      </c>
      <c r="BB10" s="2">
        <v>229397.57000000007</v>
      </c>
      <c r="BC10" s="2">
        <f t="shared" si="0"/>
        <v>-178865.82365893642</v>
      </c>
      <c r="BD10" s="2">
        <v>-1914.01</v>
      </c>
      <c r="BE10" s="2">
        <v>192111.14000000013</v>
      </c>
      <c r="BF10" s="62"/>
      <c r="BG10" s="63"/>
      <c r="BH10" s="63"/>
      <c r="BI10" s="63"/>
      <c r="BJ10" s="63"/>
      <c r="BK10" s="63"/>
    </row>
    <row r="11" spans="1:63">
      <c r="A11" s="58" t="s">
        <v>11</v>
      </c>
      <c r="B11" s="1">
        <v>8736.1</v>
      </c>
      <c r="C11" s="60">
        <v>266285.54931302619</v>
      </c>
      <c r="D11" s="3">
        <v>118994.80041937747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>B11*P$66</f>
        <v>0</v>
      </c>
      <c r="Q11" s="1">
        <v>67030.258728665402</v>
      </c>
      <c r="R11" s="64"/>
      <c r="S11" s="3"/>
      <c r="T11" s="3"/>
      <c r="U11" s="3"/>
      <c r="V11" s="3">
        <v>87.6</v>
      </c>
      <c r="W11" s="3">
        <v>15768</v>
      </c>
      <c r="X11" s="3"/>
      <c r="Y11" s="3"/>
      <c r="Z11" s="3"/>
      <c r="AA11" s="3"/>
      <c r="AB11" s="3"/>
      <c r="AC11" s="3"/>
      <c r="AD11" s="3"/>
      <c r="AE11" s="3"/>
      <c r="AF11" s="1">
        <v>248467.41</v>
      </c>
      <c r="AG11" s="1">
        <v>165934.56</v>
      </c>
      <c r="AH11" s="1">
        <v>142767.48000000001</v>
      </c>
      <c r="AI11" s="1">
        <f>120+2005.32</f>
        <v>2125.3199999999997</v>
      </c>
      <c r="AJ11" s="1">
        <f>B11*AJ$65</f>
        <v>0</v>
      </c>
      <c r="AK11" s="1">
        <v>63625.716773509557</v>
      </c>
      <c r="AL11" s="1"/>
      <c r="AM11" s="60">
        <v>4685.4487498096196</v>
      </c>
      <c r="AN11" s="1">
        <v>3240.3435947879943</v>
      </c>
      <c r="AO11" s="1"/>
      <c r="AP11" s="61"/>
      <c r="AQ11" s="61"/>
      <c r="AR11" s="61">
        <v>39943.300000000003</v>
      </c>
      <c r="AS11" s="61">
        <v>99459.62</v>
      </c>
      <c r="AT11" s="1">
        <v>37123.107706900839</v>
      </c>
      <c r="AU11" s="1">
        <v>267389.9399817136</v>
      </c>
      <c r="AV11" s="1"/>
      <c r="AW11" s="1">
        <v>1540715.5352677908</v>
      </c>
      <c r="AX11" s="2">
        <v>1583231.4000000001</v>
      </c>
      <c r="AY11" s="4">
        <v>521.42000000004191</v>
      </c>
      <c r="AZ11" s="4"/>
      <c r="BA11" s="2">
        <v>1489306.64</v>
      </c>
      <c r="BB11" s="2">
        <v>374473.70000000042</v>
      </c>
      <c r="BC11" s="2">
        <f t="shared" si="0"/>
        <v>154795.40473220916</v>
      </c>
      <c r="BD11" s="2">
        <v>206204.3</v>
      </c>
      <c r="BE11" s="2">
        <v>280548.94000000018</v>
      </c>
      <c r="BF11" s="62"/>
      <c r="BG11" s="63"/>
      <c r="BH11" s="63"/>
      <c r="BI11" s="63"/>
      <c r="BJ11" s="63"/>
      <c r="BK11" s="63"/>
    </row>
    <row r="12" spans="1:63">
      <c r="A12" s="58" t="s">
        <v>1</v>
      </c>
      <c r="B12" s="1">
        <v>20176.3</v>
      </c>
      <c r="C12" s="60">
        <v>568923.72236551892</v>
      </c>
      <c r="D12" s="3">
        <v>274822.26527872682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>B12*P$66</f>
        <v>0</v>
      </c>
      <c r="Q12" s="1">
        <v>166549.29139949998</v>
      </c>
      <c r="R12" s="64"/>
      <c r="S12" s="3"/>
      <c r="T12" s="3"/>
      <c r="U12" s="3"/>
      <c r="V12" s="3">
        <v>139.30000000000001</v>
      </c>
      <c r="W12" s="3">
        <v>25074</v>
      </c>
      <c r="X12" s="3"/>
      <c r="Y12" s="3"/>
      <c r="Z12" s="3"/>
      <c r="AA12" s="3"/>
      <c r="AB12" s="3"/>
      <c r="AC12" s="3"/>
      <c r="AD12" s="3"/>
      <c r="AE12" s="3"/>
      <c r="AF12" s="1">
        <v>529979.04</v>
      </c>
      <c r="AG12" s="1">
        <v>384006.6</v>
      </c>
      <c r="AH12" s="1">
        <v>304442.69</v>
      </c>
      <c r="AI12" s="1">
        <f>3432.5+4641.06+28802.04</f>
        <v>36875.599999999999</v>
      </c>
      <c r="AJ12" s="1">
        <f>B12*AJ$65</f>
        <v>0</v>
      </c>
      <c r="AK12" s="1">
        <v>178912.7167250101</v>
      </c>
      <c r="AL12" s="1"/>
      <c r="AM12" s="60">
        <v>10821.192478426738</v>
      </c>
      <c r="AN12" s="1">
        <v>7483.6762939436367</v>
      </c>
      <c r="AO12" s="1"/>
      <c r="AP12" s="61"/>
      <c r="AQ12" s="61"/>
      <c r="AR12" s="61">
        <v>95692.48000000001</v>
      </c>
      <c r="AS12" s="61">
        <v>21691.35</v>
      </c>
      <c r="AT12" s="1">
        <v>85736.994542958913</v>
      </c>
      <c r="AU12" s="1">
        <v>617545.54618800699</v>
      </c>
      <c r="AV12" s="1"/>
      <c r="AW12" s="1">
        <v>3271681.5652720924</v>
      </c>
      <c r="AX12" s="2">
        <v>3682086.44</v>
      </c>
      <c r="AY12" s="4">
        <v>31282.79</v>
      </c>
      <c r="AZ12" s="4"/>
      <c r="BA12" s="2">
        <v>3572924.08</v>
      </c>
      <c r="BB12" s="2">
        <v>396213.98</v>
      </c>
      <c r="BC12" s="2">
        <f t="shared" si="0"/>
        <v>271249.0947279078</v>
      </c>
      <c r="BD12" s="2">
        <v>-29993.42</v>
      </c>
      <c r="BE12" s="2">
        <v>287051.62000000011</v>
      </c>
      <c r="BF12" s="62"/>
      <c r="BG12" s="63"/>
      <c r="BH12" s="63"/>
      <c r="BI12" s="63"/>
      <c r="BJ12" s="63"/>
      <c r="BK12" s="63"/>
    </row>
    <row r="13" spans="1:63">
      <c r="A13" s="58" t="s">
        <v>12</v>
      </c>
      <c r="B13" s="1">
        <v>4627.8</v>
      </c>
      <c r="C13" s="60">
        <v>109353.35601845475</v>
      </c>
      <c r="D13" s="3">
        <v>63035.466327170601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>B13*P$66</f>
        <v>0</v>
      </c>
      <c r="Q13" s="1">
        <v>31248.977665607967</v>
      </c>
      <c r="R13" s="64"/>
      <c r="S13" s="3"/>
      <c r="T13" s="3"/>
      <c r="U13" s="3"/>
      <c r="V13" s="3">
        <v>171.8</v>
      </c>
      <c r="W13" s="3">
        <v>30924</v>
      </c>
      <c r="X13" s="3"/>
      <c r="Y13" s="3"/>
      <c r="Z13" s="3"/>
      <c r="AA13" s="3"/>
      <c r="AB13" s="3"/>
      <c r="AC13" s="3"/>
      <c r="AD13" s="3"/>
      <c r="AE13" s="3"/>
      <c r="AF13" s="1">
        <v>154060.25999999998</v>
      </c>
      <c r="AG13" s="1">
        <v>88371.12</v>
      </c>
      <c r="AH13" s="1">
        <v>76020.649999999994</v>
      </c>
      <c r="AI13" s="1">
        <f>190+1067.81</f>
        <v>1257.81</v>
      </c>
      <c r="AJ13" s="1">
        <f>B13*AJ$65</f>
        <v>0</v>
      </c>
      <c r="AK13" s="1">
        <v>33836.596436561798</v>
      </c>
      <c r="AL13" s="1"/>
      <c r="AM13" s="60">
        <v>2482.0365751730128</v>
      </c>
      <c r="AN13" s="1">
        <v>1716.5167623951052</v>
      </c>
      <c r="AO13" s="1"/>
      <c r="AP13" s="61"/>
      <c r="AQ13" s="61"/>
      <c r="AR13" s="61">
        <v>20346.7</v>
      </c>
      <c r="AS13" s="61">
        <v>50367.37</v>
      </c>
      <c r="AT13" s="1">
        <v>19665.333254655478</v>
      </c>
      <c r="AU13" s="1">
        <v>141645.26095710605</v>
      </c>
      <c r="AV13" s="1"/>
      <c r="AW13" s="1">
        <v>823073.64399712486</v>
      </c>
      <c r="AX13" s="2">
        <v>850407.70000000007</v>
      </c>
      <c r="AY13" s="4">
        <v>2183.09</v>
      </c>
      <c r="AZ13" s="4"/>
      <c r="BA13" s="2">
        <v>830698.34</v>
      </c>
      <c r="BB13" s="2">
        <v>107366.10000000009</v>
      </c>
      <c r="BC13" s="2">
        <f t="shared" si="0"/>
        <v>-51566.553997124895</v>
      </c>
      <c r="BD13" s="2">
        <v>-59191.25</v>
      </c>
      <c r="BE13" s="2">
        <v>87656.739999999991</v>
      </c>
      <c r="BF13" s="62"/>
      <c r="BG13" s="63"/>
      <c r="BH13" s="63"/>
      <c r="BI13" s="63"/>
      <c r="BJ13" s="63"/>
      <c r="BK13" s="63"/>
    </row>
    <row r="14" spans="1:63">
      <c r="A14" s="58" t="s">
        <v>13</v>
      </c>
      <c r="B14" s="1">
        <v>2410.1</v>
      </c>
      <c r="C14" s="60">
        <v>66278.626654150517</v>
      </c>
      <c r="D14" s="3">
        <v>32828.07757360168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>B14*P$66</f>
        <v>0</v>
      </c>
      <c r="Q14" s="1">
        <v>16274.074305692069</v>
      </c>
      <c r="R14" s="6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">
        <v>79526.430000000008</v>
      </c>
      <c r="AG14" s="1">
        <v>43504.2</v>
      </c>
      <c r="AH14" s="1">
        <v>70092.399999999994</v>
      </c>
      <c r="AI14" s="1"/>
      <c r="AJ14" s="1">
        <f>B14*AJ$65</f>
        <v>0</v>
      </c>
      <c r="AK14" s="1">
        <v>16966.621978209427</v>
      </c>
      <c r="AL14" s="1"/>
      <c r="AM14" s="60">
        <v>1292.6134123826607</v>
      </c>
      <c r="AN14" s="1">
        <v>893.94032781201497</v>
      </c>
      <c r="AO14" s="1">
        <v>176639.28</v>
      </c>
      <c r="AP14" s="61"/>
      <c r="AQ14" s="61"/>
      <c r="AR14" s="61">
        <v>18594.150000000001</v>
      </c>
      <c r="AS14" s="61">
        <v>29839.49</v>
      </c>
      <c r="AT14" s="1">
        <v>10241.458074472786</v>
      </c>
      <c r="AU14" s="1">
        <v>73767.069327265926</v>
      </c>
      <c r="AV14" s="1"/>
      <c r="AW14" s="1">
        <v>636738.43165358715</v>
      </c>
      <c r="AX14" s="2">
        <v>674764.5</v>
      </c>
      <c r="AY14" s="4">
        <v>103.28</v>
      </c>
      <c r="AZ14" s="4"/>
      <c r="BA14" s="2">
        <v>683415.42</v>
      </c>
      <c r="BB14" s="2">
        <v>22713.760000000009</v>
      </c>
      <c r="BC14" s="2">
        <f t="shared" si="0"/>
        <v>38598.068346412852</v>
      </c>
      <c r="BD14" s="2">
        <v>-8078.92</v>
      </c>
      <c r="BE14" s="2">
        <v>31364.680000000051</v>
      </c>
      <c r="BF14" s="62"/>
      <c r="BG14" s="63"/>
      <c r="BH14" s="63"/>
      <c r="BI14" s="63"/>
      <c r="BJ14" s="63"/>
      <c r="BK14" s="63"/>
    </row>
    <row r="15" spans="1:63">
      <c r="A15" s="58" t="s">
        <v>14</v>
      </c>
      <c r="B15" s="1">
        <v>2398</v>
      </c>
      <c r="C15" s="60">
        <v>87301.851668666422</v>
      </c>
      <c r="D15" s="3">
        <v>32663.262944067395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>B15*P$66</f>
        <v>0</v>
      </c>
      <c r="Q15" s="1">
        <v>16192.369688000324</v>
      </c>
      <c r="R15" s="64">
        <v>324</v>
      </c>
      <c r="S15" s="3">
        <v>86943.16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1">
        <v>48345.450000000004</v>
      </c>
      <c r="AG15" s="1">
        <v>43446.48</v>
      </c>
      <c r="AH15" s="1">
        <v>70003.16</v>
      </c>
      <c r="AI15" s="1">
        <f>226</f>
        <v>226</v>
      </c>
      <c r="AJ15" s="1">
        <f>B15*AJ$65</f>
        <v>0</v>
      </c>
      <c r="AK15" s="1">
        <v>17107.440398218419</v>
      </c>
      <c r="AL15" s="1"/>
      <c r="AM15" s="60">
        <v>1286.1237968937476</v>
      </c>
      <c r="AN15" s="1">
        <v>889.45226591975938</v>
      </c>
      <c r="AO15" s="1">
        <v>176513.88</v>
      </c>
      <c r="AP15" s="61"/>
      <c r="AQ15" s="61"/>
      <c r="AR15" s="61">
        <v>18086.41</v>
      </c>
      <c r="AS15" s="61">
        <v>61828.21</v>
      </c>
      <c r="AT15" s="1">
        <v>10190.040439228971</v>
      </c>
      <c r="AU15" s="1">
        <v>73396.718910743832</v>
      </c>
      <c r="AV15" s="1"/>
      <c r="AW15" s="1">
        <v>744194.01011173893</v>
      </c>
      <c r="AX15" s="2">
        <v>683928.48</v>
      </c>
      <c r="AY15" s="4">
        <v>82.839999999996508</v>
      </c>
      <c r="AZ15" s="4"/>
      <c r="BA15" s="2">
        <v>655783.53999999992</v>
      </c>
      <c r="BB15" s="2">
        <v>67685.930000000168</v>
      </c>
      <c r="BC15" s="2">
        <f t="shared" si="0"/>
        <v>-142712.01011173904</v>
      </c>
      <c r="BD15" s="2">
        <v>-54301.54</v>
      </c>
      <c r="BE15" s="2">
        <v>39540.990000000107</v>
      </c>
      <c r="BF15" s="62"/>
      <c r="BG15" s="63"/>
      <c r="BH15" s="63"/>
      <c r="BI15" s="63"/>
      <c r="BJ15" s="63"/>
      <c r="BK15" s="63"/>
    </row>
    <row r="16" spans="1:63">
      <c r="A16" s="58" t="s">
        <v>17</v>
      </c>
      <c r="B16" s="1">
        <v>2424</v>
      </c>
      <c r="C16" s="60">
        <v>69853.565356483494</v>
      </c>
      <c r="D16" s="3">
        <v>33017.410081909664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B16*P$66</f>
        <v>0</v>
      </c>
      <c r="Q16" s="1">
        <v>16367.933329321429</v>
      </c>
      <c r="R16" s="6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">
        <v>32458.66</v>
      </c>
      <c r="AG16" s="1">
        <v>43735.38</v>
      </c>
      <c r="AH16" s="1">
        <v>70315.48000000001</v>
      </c>
      <c r="AI16" s="1"/>
      <c r="AJ16" s="1">
        <f>B16*AJ$65</f>
        <v>0</v>
      </c>
      <c r="AK16" s="1">
        <v>17064.475198199099</v>
      </c>
      <c r="AL16" s="1"/>
      <c r="AM16" s="60">
        <v>1300.0684252170324</v>
      </c>
      <c r="AN16" s="1">
        <v>899.0960352750194</v>
      </c>
      <c r="AO16" s="1">
        <v>177654.48</v>
      </c>
      <c r="AP16" s="61"/>
      <c r="AQ16" s="61"/>
      <c r="AR16" s="61">
        <v>18673.439999999999</v>
      </c>
      <c r="AS16" s="61">
        <v>40733.160000000003</v>
      </c>
      <c r="AT16" s="1">
        <v>10300.524614133039</v>
      </c>
      <c r="AU16" s="1">
        <v>74192.513194179759</v>
      </c>
      <c r="AV16" s="1"/>
      <c r="AW16" s="1">
        <v>606566.18623471865</v>
      </c>
      <c r="AX16" s="2">
        <v>682481.63</v>
      </c>
      <c r="AY16" s="4">
        <v>62.16</v>
      </c>
      <c r="AZ16" s="4"/>
      <c r="BA16" s="2">
        <v>685095.38000000012</v>
      </c>
      <c r="BB16" s="2">
        <v>44438.34999999986</v>
      </c>
      <c r="BC16" s="2">
        <f t="shared" si="0"/>
        <v>96049.14376528142</v>
      </c>
      <c r="BD16" s="2">
        <v>17519.95</v>
      </c>
      <c r="BE16" s="2">
        <v>47052.099999999977</v>
      </c>
      <c r="BF16" s="62"/>
      <c r="BG16" s="63"/>
      <c r="BH16" s="63"/>
      <c r="BI16" s="63"/>
      <c r="BJ16" s="63"/>
      <c r="BK16" s="63"/>
    </row>
    <row r="17" spans="1:63">
      <c r="A17" s="58" t="s">
        <v>15</v>
      </c>
      <c r="B17" s="1">
        <v>20358</v>
      </c>
      <c r="C17" s="60">
        <v>687888.12756076362</v>
      </c>
      <c r="D17" s="3">
        <v>277297.20893049374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>B17*P$66</f>
        <v>0</v>
      </c>
      <c r="Q17" s="1">
        <v>266390.30115442479</v>
      </c>
      <c r="R17" s="64"/>
      <c r="S17" s="3"/>
      <c r="T17" s="3"/>
      <c r="U17" s="3"/>
      <c r="V17" s="3">
        <v>84.8</v>
      </c>
      <c r="W17" s="3">
        <v>15264</v>
      </c>
      <c r="X17" s="3"/>
      <c r="Y17" s="3"/>
      <c r="Z17" s="3"/>
      <c r="AA17" s="3"/>
      <c r="AB17" s="3"/>
      <c r="AC17" s="3"/>
      <c r="AD17" s="3"/>
      <c r="AE17" s="3"/>
      <c r="AF17" s="1">
        <v>665302.74</v>
      </c>
      <c r="AG17" s="1">
        <v>379708.74</v>
      </c>
      <c r="AH17" s="1">
        <v>326699.98</v>
      </c>
      <c r="AI17" s="1">
        <f>44226+4588.81</f>
        <v>48814.81</v>
      </c>
      <c r="AJ17" s="1">
        <f>B17*AJ$65</f>
        <v>0</v>
      </c>
      <c r="AK17" s="1">
        <v>192131.05838487513</v>
      </c>
      <c r="AL17" s="1"/>
      <c r="AM17" s="60">
        <v>10918.643977132157</v>
      </c>
      <c r="AN17" s="1">
        <v>7551.0714051686655</v>
      </c>
      <c r="AO17" s="1"/>
      <c r="AP17" s="61"/>
      <c r="AQ17" s="61"/>
      <c r="AR17" s="61">
        <v>83580.899999999994</v>
      </c>
      <c r="AS17" s="61">
        <v>352018.31</v>
      </c>
      <c r="AT17" s="1">
        <v>86509.108949884656</v>
      </c>
      <c r="AU17" s="1">
        <v>623106.92393032648</v>
      </c>
      <c r="AV17" s="1"/>
      <c r="AW17" s="1">
        <v>3974367.1142930686</v>
      </c>
      <c r="AX17" s="2">
        <v>3582535.6100000003</v>
      </c>
      <c r="AY17" s="4">
        <v>14272.1</v>
      </c>
      <c r="AZ17" s="4"/>
      <c r="BA17" s="2">
        <v>3459354.6500000004</v>
      </c>
      <c r="BB17" s="2">
        <v>532628.93999999994</v>
      </c>
      <c r="BC17" s="2">
        <f t="shared" si="0"/>
        <v>-585573.56429306837</v>
      </c>
      <c r="BD17" s="2">
        <v>-70561.100000000006</v>
      </c>
      <c r="BE17" s="2">
        <v>409447.98</v>
      </c>
      <c r="BF17" s="62"/>
      <c r="BG17" s="63"/>
      <c r="BH17" s="63"/>
      <c r="BI17" s="63"/>
      <c r="BJ17" s="63"/>
      <c r="BK17" s="63"/>
    </row>
    <row r="18" spans="1:63">
      <c r="A18" s="58" t="s">
        <v>18</v>
      </c>
      <c r="B18" s="1">
        <v>4621.5</v>
      </c>
      <c r="C18" s="60">
        <v>121583.71300948369</v>
      </c>
      <c r="D18" s="3">
        <v>62949.653751462662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>B18*P$66</f>
        <v>0</v>
      </c>
      <c r="Q18" s="1">
        <v>53876.037244826308</v>
      </c>
      <c r="R18" s="64"/>
      <c r="S18" s="3"/>
      <c r="T18" s="3"/>
      <c r="U18" s="3"/>
      <c r="V18" s="3">
        <v>26.6</v>
      </c>
      <c r="W18" s="3">
        <v>4788</v>
      </c>
      <c r="X18" s="3"/>
      <c r="Y18" s="3"/>
      <c r="Z18" s="3"/>
      <c r="AA18" s="3"/>
      <c r="AB18" s="3"/>
      <c r="AC18" s="3"/>
      <c r="AD18" s="3"/>
      <c r="AE18" s="3"/>
      <c r="AF18" s="1">
        <v>128590.53</v>
      </c>
      <c r="AG18" s="1">
        <v>85900.74</v>
      </c>
      <c r="AH18" s="1"/>
      <c r="AI18" s="1">
        <f>6600+1081.27</f>
        <v>7681.27</v>
      </c>
      <c r="AJ18" s="1">
        <f>B18*AJ$65</f>
        <v>0</v>
      </c>
      <c r="AK18" s="1">
        <v>40215.705696566481</v>
      </c>
      <c r="AL18" s="1"/>
      <c r="AM18" s="60">
        <v>2478.6576844639089</v>
      </c>
      <c r="AN18" s="1">
        <v>1714.1800028974844</v>
      </c>
      <c r="AO18" s="1"/>
      <c r="AP18" s="61"/>
      <c r="AQ18" s="61"/>
      <c r="AR18" s="61">
        <v>19629.84</v>
      </c>
      <c r="AS18" s="61">
        <v>81041.91</v>
      </c>
      <c r="AT18" s="1">
        <v>19638.562089197952</v>
      </c>
      <c r="AU18" s="1">
        <v>141452.43388073504</v>
      </c>
      <c r="AV18" s="1"/>
      <c r="AW18" s="1">
        <v>763859.96335963358</v>
      </c>
      <c r="AX18" s="2">
        <v>744311.48</v>
      </c>
      <c r="AY18" s="4">
        <v>7168.04</v>
      </c>
      <c r="AZ18" s="4"/>
      <c r="BA18" s="2">
        <v>806995.80999999994</v>
      </c>
      <c r="BB18" s="2">
        <v>52227.550000000047</v>
      </c>
      <c r="BC18" s="2">
        <f t="shared" si="0"/>
        <v>118386.3866403664</v>
      </c>
      <c r="BD18" s="2">
        <v>75250.539999999994</v>
      </c>
      <c r="BE18" s="2">
        <v>114911.88</v>
      </c>
      <c r="BF18" s="62"/>
      <c r="BG18" s="63"/>
      <c r="BH18" s="63"/>
      <c r="BI18" s="63"/>
      <c r="BJ18" s="63"/>
      <c r="BK18" s="63"/>
    </row>
    <row r="19" spans="1:63">
      <c r="A19" s="58" t="s">
        <v>19</v>
      </c>
      <c r="B19" s="1">
        <v>7672.4</v>
      </c>
      <c r="C19" s="60">
        <v>200016.02286183331</v>
      </c>
      <c r="D19" s="3">
        <v>104506.09616849986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>B19*P$66</f>
        <v>0</v>
      </c>
      <c r="Q19" s="1">
        <v>59819.160064309297</v>
      </c>
      <c r="R19" s="6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1">
        <v>172768.00999999998</v>
      </c>
      <c r="AG19" s="1">
        <v>148291.04</v>
      </c>
      <c r="AH19" s="1">
        <v>127589.99</v>
      </c>
      <c r="AI19" s="1">
        <f>2200+1792.16</f>
        <v>3992.16</v>
      </c>
      <c r="AJ19" s="1">
        <f>B19*AJ$65</f>
        <v>0</v>
      </c>
      <c r="AK19" s="1">
        <v>58004.321514299823</v>
      </c>
      <c r="AL19" s="1"/>
      <c r="AM19" s="60">
        <v>4114.9525518296859</v>
      </c>
      <c r="AN19" s="1">
        <v>2845.8021538960638</v>
      </c>
      <c r="AO19" s="1"/>
      <c r="AP19" s="61"/>
      <c r="AQ19" s="61"/>
      <c r="AR19" s="61">
        <v>34797.870000000003</v>
      </c>
      <c r="AS19" s="61">
        <v>129022.53</v>
      </c>
      <c r="AT19" s="1">
        <v>32603.030135921748</v>
      </c>
      <c r="AU19" s="1">
        <v>234832.77154745243</v>
      </c>
      <c r="AV19" s="1"/>
      <c r="AW19" s="1">
        <v>1309211.5969980427</v>
      </c>
      <c r="AX19" s="2">
        <v>1416101.23</v>
      </c>
      <c r="AY19" s="4">
        <v>527.60000000000582</v>
      </c>
      <c r="AZ19" s="4">
        <v>1423</v>
      </c>
      <c r="BA19" s="2">
        <v>1368640.76</v>
      </c>
      <c r="BB19" s="2">
        <v>176431.8899999999</v>
      </c>
      <c r="BC19" s="2">
        <f t="shared" si="0"/>
        <v>155855.39300195733</v>
      </c>
      <c r="BD19" s="2">
        <v>96426.23</v>
      </c>
      <c r="BE19" s="2">
        <v>128971.41999999993</v>
      </c>
      <c r="BF19" s="62"/>
      <c r="BG19" s="63"/>
      <c r="BH19" s="63"/>
      <c r="BI19" s="63"/>
      <c r="BJ19" s="63"/>
      <c r="BK19" s="63"/>
    </row>
    <row r="20" spans="1:63">
      <c r="A20" s="58" t="s">
        <v>20</v>
      </c>
      <c r="B20" s="1">
        <v>6142.6</v>
      </c>
      <c r="C20" s="60">
        <v>180208.48395327374</v>
      </c>
      <c r="D20" s="3">
        <v>83668.623419611511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>B20*P$66</f>
        <v>0</v>
      </c>
      <c r="Q20" s="1">
        <v>102725.07550688524</v>
      </c>
      <c r="R20" s="64"/>
      <c r="S20" s="3"/>
      <c r="T20" s="3"/>
      <c r="U20" s="3"/>
      <c r="V20" s="3">
        <v>252.6</v>
      </c>
      <c r="W20" s="3">
        <v>45468</v>
      </c>
      <c r="X20" s="3"/>
      <c r="Y20" s="3"/>
      <c r="Z20" s="3"/>
      <c r="AA20" s="3"/>
      <c r="AB20" s="3"/>
      <c r="AC20" s="3"/>
      <c r="AD20" s="3"/>
      <c r="AE20" s="3"/>
      <c r="AF20" s="1">
        <v>187730.94</v>
      </c>
      <c r="AG20" s="1">
        <v>118921.56</v>
      </c>
      <c r="AH20" s="1"/>
      <c r="AI20" s="1">
        <f>2443</f>
        <v>2443</v>
      </c>
      <c r="AJ20" s="1">
        <f>B20*AJ$65</f>
        <v>0</v>
      </c>
      <c r="AK20" s="1">
        <v>45685.675475436386</v>
      </c>
      <c r="AL20" s="1"/>
      <c r="AM20" s="60">
        <v>3294.4720745619406</v>
      </c>
      <c r="AN20" s="1">
        <v>2278.3776016007982</v>
      </c>
      <c r="AO20" s="1"/>
      <c r="AP20" s="61"/>
      <c r="AQ20" s="61"/>
      <c r="AR20" s="61">
        <v>27261.61</v>
      </c>
      <c r="AS20" s="61">
        <v>31318.68</v>
      </c>
      <c r="AT20" s="1">
        <v>26102.311260220133</v>
      </c>
      <c r="AU20" s="1">
        <v>188009.46020898042</v>
      </c>
      <c r="AV20" s="1"/>
      <c r="AW20" s="1">
        <v>1042673.2695005703</v>
      </c>
      <c r="AX20" s="2">
        <v>1020824.57</v>
      </c>
      <c r="AY20" s="4">
        <v>5810.83</v>
      </c>
      <c r="AZ20" s="4"/>
      <c r="BA20" s="2">
        <v>973087.28</v>
      </c>
      <c r="BB20" s="2">
        <v>237837.92999999993</v>
      </c>
      <c r="BC20" s="2">
        <f t="shared" si="0"/>
        <v>12407.100499429856</v>
      </c>
      <c r="BD20" s="2">
        <v>81993.09</v>
      </c>
      <c r="BE20" s="2">
        <v>190100.64</v>
      </c>
      <c r="BF20" s="62"/>
      <c r="BG20" s="63"/>
      <c r="BH20" s="63"/>
      <c r="BI20" s="63"/>
      <c r="BJ20" s="63"/>
      <c r="BK20" s="63"/>
    </row>
    <row r="21" spans="1:63">
      <c r="A21" s="58" t="s">
        <v>16</v>
      </c>
      <c r="B21" s="1">
        <v>7120.8</v>
      </c>
      <c r="C21" s="60">
        <v>225388.70385414507</v>
      </c>
      <c r="D21" s="3">
        <v>96992.728428738585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>B21*P$66</f>
        <v>0</v>
      </c>
      <c r="Q21" s="1">
        <v>77682.82988920463</v>
      </c>
      <c r="R21" s="64" t="s">
        <v>100</v>
      </c>
      <c r="S21" s="3">
        <v>523003.43</v>
      </c>
      <c r="T21" s="3"/>
      <c r="U21" s="3"/>
      <c r="V21" s="3">
        <v>226</v>
      </c>
      <c r="W21" s="3">
        <v>40680</v>
      </c>
      <c r="X21" s="3"/>
      <c r="Y21" s="3"/>
      <c r="Z21" s="3"/>
      <c r="AA21" s="3"/>
      <c r="AB21" s="3"/>
      <c r="AC21" s="3"/>
      <c r="AD21" s="3"/>
      <c r="AE21" s="3"/>
      <c r="AF21" s="1">
        <v>221951.46</v>
      </c>
      <c r="AG21" s="1">
        <v>110043.24</v>
      </c>
      <c r="AH21" s="1">
        <v>105967.06</v>
      </c>
      <c r="AI21" s="1">
        <f>500</f>
        <v>500</v>
      </c>
      <c r="AJ21" s="1">
        <f>B21*AJ$65</f>
        <v>0</v>
      </c>
      <c r="AK21" s="1">
        <v>50629.007834709635</v>
      </c>
      <c r="AL21" s="1"/>
      <c r="AM21" s="60">
        <v>3819.1118986326092</v>
      </c>
      <c r="AN21" s="1">
        <v>2641.2058778821611</v>
      </c>
      <c r="AO21" s="1">
        <v>448013.28</v>
      </c>
      <c r="AP21" s="61"/>
      <c r="AQ21" s="61"/>
      <c r="AR21" s="61">
        <v>101433.94999999998</v>
      </c>
      <c r="AS21" s="61">
        <v>104953.86</v>
      </c>
      <c r="AT21" s="1">
        <v>30259.065871418541</v>
      </c>
      <c r="AU21" s="1">
        <v>217949.68974963497</v>
      </c>
      <c r="AV21" s="1"/>
      <c r="AW21" s="1">
        <v>2361408.623404366</v>
      </c>
      <c r="AX21" s="2">
        <v>1694963.4600000002</v>
      </c>
      <c r="AY21" s="4">
        <v>36375.43</v>
      </c>
      <c r="AZ21" s="4"/>
      <c r="BA21" s="2">
        <v>1565300.93</v>
      </c>
      <c r="BB21" s="2">
        <v>498376.88000000035</v>
      </c>
      <c r="BC21" s="2">
        <f t="shared" si="0"/>
        <v>-901904.2734043661</v>
      </c>
      <c r="BD21" s="2">
        <v>-105796.58</v>
      </c>
      <c r="BE21" s="2">
        <v>368714.35000000009</v>
      </c>
      <c r="BF21" s="62"/>
      <c r="BG21" s="63"/>
      <c r="BH21" s="63"/>
      <c r="BI21" s="63"/>
      <c r="BJ21" s="63"/>
      <c r="BK21" s="63"/>
    </row>
    <row r="22" spans="1:63">
      <c r="A22" s="58" t="s">
        <v>21</v>
      </c>
      <c r="B22" s="1">
        <v>2429.5</v>
      </c>
      <c r="C22" s="60">
        <v>65406.556713521721</v>
      </c>
      <c r="D22" s="3">
        <v>33092.325822607061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>B22*P$66</f>
        <v>0</v>
      </c>
      <c r="Q22" s="1">
        <v>16405.071791908587</v>
      </c>
      <c r="R22" s="6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">
        <v>111004.23</v>
      </c>
      <c r="AG22" s="1">
        <v>44118.66</v>
      </c>
      <c r="AH22" s="1">
        <v>42484.57</v>
      </c>
      <c r="AI22" s="1"/>
      <c r="AJ22" s="1">
        <f>B22*AJ$65</f>
        <v>0</v>
      </c>
      <c r="AK22" s="1">
        <v>17103.194098195014</v>
      </c>
      <c r="AL22" s="1"/>
      <c r="AM22" s="60">
        <v>1303.0182504392658</v>
      </c>
      <c r="AN22" s="1">
        <v>901.13606340786293</v>
      </c>
      <c r="AO22" s="1">
        <v>179214.84</v>
      </c>
      <c r="AP22" s="61"/>
      <c r="AQ22" s="61"/>
      <c r="AR22" s="61">
        <v>17955.13</v>
      </c>
      <c r="AS22" s="61">
        <v>37983.19</v>
      </c>
      <c r="AT22" s="1">
        <v>10323.896266516591</v>
      </c>
      <c r="AU22" s="1">
        <v>74360.854292598888</v>
      </c>
      <c r="AV22" s="1"/>
      <c r="AW22" s="1">
        <v>651656.67329919501</v>
      </c>
      <c r="AX22" s="2">
        <v>641791.02999999991</v>
      </c>
      <c r="AY22" s="4">
        <v>105.15</v>
      </c>
      <c r="AZ22" s="4"/>
      <c r="BA22" s="2">
        <v>587875.82000000007</v>
      </c>
      <c r="BB22" s="2">
        <v>201636.70999999973</v>
      </c>
      <c r="BC22" s="2">
        <f t="shared" si="0"/>
        <v>-109139.57329919492</v>
      </c>
      <c r="BD22" s="2">
        <v>-45358.720000000001</v>
      </c>
      <c r="BE22" s="2">
        <v>147721.49999999994</v>
      </c>
      <c r="BF22" s="62"/>
      <c r="BG22" s="63"/>
      <c r="BH22" s="63"/>
      <c r="BI22" s="63"/>
      <c r="BJ22" s="63"/>
      <c r="BK22" s="63"/>
    </row>
    <row r="23" spans="1:63">
      <c r="A23" s="58" t="s">
        <v>22</v>
      </c>
      <c r="B23" s="1">
        <v>3742.4</v>
      </c>
      <c r="C23" s="60">
        <v>139588.66774179199</v>
      </c>
      <c r="D23" s="3">
        <v>50975.394179265146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>B23*P$66</f>
        <v>0</v>
      </c>
      <c r="Q23" s="1">
        <v>25270.360433850048</v>
      </c>
      <c r="R23" s="6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1">
        <v>60248.04</v>
      </c>
      <c r="AG23" s="1">
        <v>41520.18</v>
      </c>
      <c r="AH23" s="1">
        <v>39982.019999999997</v>
      </c>
      <c r="AI23" s="1"/>
      <c r="AJ23" s="1">
        <f>B23*AJ$65</f>
        <v>0</v>
      </c>
      <c r="AK23" s="1">
        <v>26345.747517219603</v>
      </c>
      <c r="AL23" s="1"/>
      <c r="AM23" s="60">
        <v>2007.1683475792997</v>
      </c>
      <c r="AN23" s="1">
        <v>1388.1093244279014</v>
      </c>
      <c r="AO23" s="1">
        <v>180948.48000000001</v>
      </c>
      <c r="AP23" s="61"/>
      <c r="AQ23" s="61"/>
      <c r="AR23" s="61">
        <v>18180.53</v>
      </c>
      <c r="AS23" s="61">
        <v>33831.410000000003</v>
      </c>
      <c r="AT23" s="1">
        <v>15902.92216003774</v>
      </c>
      <c r="AU23" s="1">
        <v>114545.40485886895</v>
      </c>
      <c r="AV23" s="1"/>
      <c r="AW23" s="1">
        <v>750734.43456304085</v>
      </c>
      <c r="AX23" s="2">
        <v>608648.77</v>
      </c>
      <c r="AY23" s="4">
        <v>3221.03</v>
      </c>
      <c r="AZ23" s="4"/>
      <c r="BA23" s="2">
        <v>598252.86</v>
      </c>
      <c r="BB23" s="2">
        <v>87978.220000000088</v>
      </c>
      <c r="BC23" s="2">
        <f>BD23+BA23-AW23</f>
        <v>-22819.344563040882</v>
      </c>
      <c r="BD23" s="2">
        <v>129662.23</v>
      </c>
      <c r="BE23" s="2">
        <v>77582.310000000056</v>
      </c>
      <c r="BF23" s="62"/>
      <c r="BG23" s="63"/>
      <c r="BH23" s="63"/>
      <c r="BI23" s="63"/>
      <c r="BJ23" s="63"/>
      <c r="BK23" s="63"/>
    </row>
    <row r="24" spans="1:63">
      <c r="A24" s="58" t="s">
        <v>23</v>
      </c>
      <c r="B24" s="1">
        <v>7757</v>
      </c>
      <c r="C24" s="60">
        <v>201465.86755373041</v>
      </c>
      <c r="D24" s="3">
        <v>105658.43647086354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>B24*P$66</f>
        <v>0</v>
      </c>
      <c r="Q24" s="1">
        <v>71014.867143377196</v>
      </c>
      <c r="R24" s="64"/>
      <c r="S24" s="3"/>
      <c r="T24" s="3"/>
      <c r="U24" s="3"/>
      <c r="V24" s="3">
        <v>165.3</v>
      </c>
      <c r="W24" s="3">
        <v>29754</v>
      </c>
      <c r="X24" s="3"/>
      <c r="Y24" s="3"/>
      <c r="Z24" s="3"/>
      <c r="AA24" s="3"/>
      <c r="AB24" s="3"/>
      <c r="AC24" s="3"/>
      <c r="AD24" s="3"/>
      <c r="AE24" s="3"/>
      <c r="AF24" s="1">
        <v>195342.37</v>
      </c>
      <c r="AG24" s="1">
        <v>148238.19</v>
      </c>
      <c r="AH24" s="1">
        <v>127548.49</v>
      </c>
      <c r="AI24" s="1">
        <f>4000</f>
        <v>4000</v>
      </c>
      <c r="AJ24" s="1">
        <f>B24*AJ$65</f>
        <v>0</v>
      </c>
      <c r="AK24" s="1">
        <v>58607.728594236978</v>
      </c>
      <c r="AL24" s="1"/>
      <c r="AM24" s="60">
        <v>4160.3262270662217</v>
      </c>
      <c r="AN24" s="1">
        <v>2877.1814957212564</v>
      </c>
      <c r="AO24" s="1"/>
      <c r="AP24" s="61"/>
      <c r="AQ24" s="61"/>
      <c r="AR24" s="61">
        <v>34501.69</v>
      </c>
      <c r="AS24" s="61">
        <v>152907.09</v>
      </c>
      <c r="AT24" s="1">
        <v>32962.528643494217</v>
      </c>
      <c r="AU24" s="1">
        <v>237422.16371586316</v>
      </c>
      <c r="AV24" s="1"/>
      <c r="AW24" s="1">
        <v>1402460.9298443529</v>
      </c>
      <c r="AX24" s="2">
        <v>1425436.1199999999</v>
      </c>
      <c r="AY24" s="4">
        <v>4450.41</v>
      </c>
      <c r="AZ24" s="4"/>
      <c r="BA24" s="2">
        <v>1352188.59</v>
      </c>
      <c r="BB24" s="2">
        <v>278891.2799999998</v>
      </c>
      <c r="BC24" s="2">
        <f t="shared" si="0"/>
        <v>57816.990155647276</v>
      </c>
      <c r="BD24" s="2">
        <v>108089.33</v>
      </c>
      <c r="BE24" s="2">
        <v>205643.75</v>
      </c>
      <c r="BF24" s="62"/>
      <c r="BG24" s="63"/>
      <c r="BH24" s="63"/>
      <c r="BI24" s="63"/>
      <c r="BJ24" s="63"/>
      <c r="BK24" s="63"/>
    </row>
    <row r="25" spans="1:63">
      <c r="A25" s="58" t="s">
        <v>26</v>
      </c>
      <c r="B25" s="1">
        <v>13863.5</v>
      </c>
      <c r="C25" s="60">
        <v>360578.05696353503</v>
      </c>
      <c r="D25" s="3">
        <v>188835.34021062482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>B25*P$66</f>
        <v>0</v>
      </c>
      <c r="Q25" s="1">
        <v>115514.03928673582</v>
      </c>
      <c r="R25" s="64"/>
      <c r="S25" s="3"/>
      <c r="T25" s="3"/>
      <c r="U25" s="3"/>
      <c r="V25" s="3">
        <v>136.69999999999999</v>
      </c>
      <c r="W25" s="3">
        <v>24606</v>
      </c>
      <c r="X25" s="3"/>
      <c r="Y25" s="3"/>
      <c r="Z25" s="3"/>
      <c r="AA25" s="3"/>
      <c r="AB25" s="3"/>
      <c r="AC25" s="3"/>
      <c r="AD25" s="3"/>
      <c r="AE25" s="3"/>
      <c r="AF25" s="1">
        <v>311002.49</v>
      </c>
      <c r="AG25" s="1">
        <v>261270.66</v>
      </c>
      <c r="AH25" s="1">
        <v>224796.72</v>
      </c>
      <c r="AI25" s="1">
        <f>2582.5+3157.25</f>
        <v>5739.75</v>
      </c>
      <c r="AJ25" s="1">
        <f>B25*AJ$65</f>
        <v>0</v>
      </c>
      <c r="AK25" s="1">
        <v>103336.01728970018</v>
      </c>
      <c r="AL25" s="1"/>
      <c r="AM25" s="60">
        <v>7435.4367215331395</v>
      </c>
      <c r="AN25" s="1">
        <v>5142.1690944864822</v>
      </c>
      <c r="AO25" s="1"/>
      <c r="AP25" s="61"/>
      <c r="AQ25" s="61"/>
      <c r="AR25" s="61">
        <v>69308.22</v>
      </c>
      <c r="AS25" s="61">
        <v>214296.22</v>
      </c>
      <c r="AT25" s="1">
        <v>58911.436876251391</v>
      </c>
      <c r="AU25" s="1">
        <v>424326.69416976528</v>
      </c>
      <c r="AV25" s="1"/>
      <c r="AW25" s="1">
        <v>2369359.5006126324</v>
      </c>
      <c r="AX25" s="2">
        <v>2492829.1</v>
      </c>
      <c r="AY25" s="4">
        <v>6035.95</v>
      </c>
      <c r="AZ25" s="4"/>
      <c r="BA25" s="2">
        <v>2473054.4700000002</v>
      </c>
      <c r="BB25" s="2">
        <v>358068.21999999974</v>
      </c>
      <c r="BC25" s="2">
        <f t="shared" si="0"/>
        <v>71300.549387367908</v>
      </c>
      <c r="BD25" s="2">
        <v>-32394.42</v>
      </c>
      <c r="BE25" s="2">
        <v>338293.58999999985</v>
      </c>
      <c r="BF25" s="62"/>
      <c r="BG25" s="63"/>
      <c r="BH25" s="63"/>
      <c r="BI25" s="63"/>
      <c r="BJ25" s="63"/>
      <c r="BK25" s="63"/>
    </row>
    <row r="26" spans="1:63">
      <c r="A26" s="58" t="s">
        <v>27</v>
      </c>
      <c r="B26" s="1">
        <v>3200.9</v>
      </c>
      <c r="C26" s="60">
        <v>189591.50958975579</v>
      </c>
      <c r="D26" s="3">
        <v>43599.598981511816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>B26*P$66</f>
        <v>0</v>
      </c>
      <c r="Q26" s="1">
        <v>21934.00998095089</v>
      </c>
      <c r="R26" s="6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1">
        <v>46876.33</v>
      </c>
      <c r="AG26" s="1">
        <v>48503.46</v>
      </c>
      <c r="AH26" s="1">
        <v>74906.87</v>
      </c>
      <c r="AI26" s="1"/>
      <c r="AJ26" s="1">
        <f>B26*AJ$65</f>
        <v>0</v>
      </c>
      <c r="AK26" s="1">
        <v>22533.695817621909</v>
      </c>
      <c r="AL26" s="1"/>
      <c r="AM26" s="60">
        <v>1716.74464615396</v>
      </c>
      <c r="AN26" s="1">
        <v>1187.259281894311</v>
      </c>
      <c r="AO26" s="1">
        <v>215948.16</v>
      </c>
      <c r="AP26" s="61"/>
      <c r="AQ26" s="61"/>
      <c r="AR26" s="61">
        <v>18729.739999999998</v>
      </c>
      <c r="AS26" s="61">
        <v>70672.77</v>
      </c>
      <c r="AT26" s="1">
        <v>13601.876748093417</v>
      </c>
      <c r="AU26" s="1">
        <v>97971.458532693883</v>
      </c>
      <c r="AV26" s="1"/>
      <c r="AW26" s="1">
        <v>867773.48357867601</v>
      </c>
      <c r="AX26" s="2">
        <v>817053.55000000016</v>
      </c>
      <c r="AY26" s="4">
        <v>56914.17</v>
      </c>
      <c r="AZ26" s="4"/>
      <c r="BA26" s="2">
        <v>830289.85000000021</v>
      </c>
      <c r="BB26" s="2">
        <v>24413.880000000005</v>
      </c>
      <c r="BC26" s="2">
        <f t="shared" si="0"/>
        <v>-43261.823578675743</v>
      </c>
      <c r="BD26" s="2">
        <v>-5778.19</v>
      </c>
      <c r="BE26" s="2">
        <v>37650.180000000051</v>
      </c>
      <c r="BF26" s="62"/>
      <c r="BG26" s="63"/>
      <c r="BH26" s="63"/>
      <c r="BI26" s="63"/>
      <c r="BJ26" s="63"/>
      <c r="BK26" s="63"/>
    </row>
    <row r="27" spans="1:63">
      <c r="A27" s="58" t="s">
        <v>28</v>
      </c>
      <c r="B27" s="1">
        <v>3103.4</v>
      </c>
      <c r="C27" s="60">
        <v>78301.528260441788</v>
      </c>
      <c r="D27" s="3">
        <v>42271.547214603321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>B27*P$66</f>
        <v>0</v>
      </c>
      <c r="Q27" s="1">
        <v>27490.43632599675</v>
      </c>
      <c r="R27" s="64"/>
      <c r="S27" s="3"/>
      <c r="T27" s="3"/>
      <c r="U27" s="3"/>
      <c r="V27" s="3"/>
      <c r="W27" s="3"/>
      <c r="X27" s="3"/>
      <c r="Y27" s="3"/>
      <c r="Z27" s="3"/>
      <c r="AA27" s="3"/>
      <c r="AB27" s="3"/>
      <c r="AC27" s="3">
        <v>2</v>
      </c>
      <c r="AD27" s="3">
        <v>20500</v>
      </c>
      <c r="AE27" s="3"/>
      <c r="AF27" s="1">
        <v>92720.94</v>
      </c>
      <c r="AG27" s="1">
        <v>60156.79</v>
      </c>
      <c r="AH27" s="1">
        <v>51765.22</v>
      </c>
      <c r="AI27" s="1">
        <f>1020+727.11</f>
        <v>1747.1100000000001</v>
      </c>
      <c r="AJ27" s="1">
        <f>B27*AJ$65</f>
        <v>0</v>
      </c>
      <c r="AK27" s="1">
        <v>23594.425317694346</v>
      </c>
      <c r="AL27" s="1"/>
      <c r="AM27" s="60">
        <v>1664.4522899416413</v>
      </c>
      <c r="AN27" s="1">
        <v>18155.115146812084</v>
      </c>
      <c r="AO27" s="1"/>
      <c r="AP27" s="61"/>
      <c r="AQ27" s="61"/>
      <c r="AR27" s="61">
        <v>13743.449999999999</v>
      </c>
      <c r="AS27" s="61">
        <v>24464.85</v>
      </c>
      <c r="AT27" s="1">
        <v>13187.561092203165</v>
      </c>
      <c r="AU27" s="1">
        <v>94987.229969809181</v>
      </c>
      <c r="AV27" s="1"/>
      <c r="AW27" s="1">
        <v>563003.5456175023</v>
      </c>
      <c r="AX27" s="2">
        <v>571202.29999999993</v>
      </c>
      <c r="AY27" s="4">
        <v>7635.03</v>
      </c>
      <c r="AZ27" s="4"/>
      <c r="BA27" s="2">
        <v>506293.39</v>
      </c>
      <c r="BB27" s="2">
        <v>125393.56999999995</v>
      </c>
      <c r="BC27" s="2">
        <f t="shared" si="0"/>
        <v>47494.844382497715</v>
      </c>
      <c r="BD27" s="2">
        <v>104205</v>
      </c>
      <c r="BE27" s="2">
        <v>60484.660000000091</v>
      </c>
      <c r="BF27" s="62"/>
      <c r="BG27" s="63"/>
      <c r="BH27" s="63"/>
      <c r="BI27" s="63"/>
      <c r="BJ27" s="63"/>
      <c r="BK27" s="63"/>
    </row>
    <row r="28" spans="1:63">
      <c r="A28" s="58" t="s">
        <v>29</v>
      </c>
      <c r="B28" s="1">
        <v>4654</v>
      </c>
      <c r="C28" s="60">
        <v>161482.57011925505</v>
      </c>
      <c r="D28" s="3">
        <v>63392.337673765498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>B28*P$66</f>
        <v>0</v>
      </c>
      <c r="Q28" s="1">
        <v>43803.001796477693</v>
      </c>
      <c r="R28" s="64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1">
        <v>110364.05</v>
      </c>
      <c r="AG28" s="1">
        <v>90202.5</v>
      </c>
      <c r="AH28" s="1">
        <v>77609.77</v>
      </c>
      <c r="AI28" s="1">
        <f>1090.13</f>
        <v>1090.1300000000001</v>
      </c>
      <c r="AJ28" s="1">
        <f>B28*AJ$65</f>
        <v>0</v>
      </c>
      <c r="AK28" s="1">
        <v>33853.359196542333</v>
      </c>
      <c r="AL28" s="1"/>
      <c r="AM28" s="60">
        <v>2496.0884698680152</v>
      </c>
      <c r="AN28" s="1">
        <v>1726.2347145915596</v>
      </c>
      <c r="AO28" s="1"/>
      <c r="AP28" s="61"/>
      <c r="AQ28" s="61"/>
      <c r="AR28" s="61">
        <v>20380.019999999997</v>
      </c>
      <c r="AS28" s="61">
        <v>38026.85</v>
      </c>
      <c r="AT28" s="1">
        <v>19776.667307828036</v>
      </c>
      <c r="AU28" s="1">
        <v>142447.17673502993</v>
      </c>
      <c r="AV28" s="1"/>
      <c r="AW28" s="1">
        <v>805560.62601335812</v>
      </c>
      <c r="AX28" s="2">
        <v>872262.67999999993</v>
      </c>
      <c r="AY28" s="4">
        <v>21544.43</v>
      </c>
      <c r="AZ28" s="4"/>
      <c r="BA28" s="2">
        <v>842736.07</v>
      </c>
      <c r="BB28" s="2">
        <v>124600.86999999988</v>
      </c>
      <c r="BC28" s="2">
        <f t="shared" si="0"/>
        <v>66244.363986641867</v>
      </c>
      <c r="BD28" s="2">
        <v>29068.92</v>
      </c>
      <c r="BE28" s="2">
        <v>95074.259999999893</v>
      </c>
      <c r="BF28" s="62"/>
      <c r="BG28" s="63"/>
      <c r="BH28" s="63"/>
      <c r="BI28" s="63"/>
      <c r="BJ28" s="63"/>
      <c r="BK28" s="63"/>
    </row>
    <row r="29" spans="1:63">
      <c r="A29" s="58" t="s">
        <v>24</v>
      </c>
      <c r="B29" s="1">
        <v>9316</v>
      </c>
      <c r="C29" s="60">
        <v>430301.90675783838</v>
      </c>
      <c r="D29" s="3">
        <v>126893.6436976363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>B29*P$66</f>
        <v>0</v>
      </c>
      <c r="Q29" s="1">
        <v>90180.913174900343</v>
      </c>
      <c r="R29" s="64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1">
        <v>249013.54</v>
      </c>
      <c r="AG29" s="1">
        <v>177351.91</v>
      </c>
      <c r="AH29" s="1"/>
      <c r="AI29" s="1">
        <f>7250+13300.17</f>
        <v>20550.169999999998</v>
      </c>
      <c r="AJ29" s="1">
        <f>B29*AJ$65</f>
        <v>0</v>
      </c>
      <c r="AK29" s="1">
        <v>86132.946793078707</v>
      </c>
      <c r="AL29" s="1"/>
      <c r="AM29" s="60">
        <v>4996.4675946047337</v>
      </c>
      <c r="AN29" s="1">
        <v>3455.4367428308915</v>
      </c>
      <c r="AO29" s="1"/>
      <c r="AP29" s="61">
        <v>58620.24</v>
      </c>
      <c r="AQ29" s="61"/>
      <c r="AR29" s="61">
        <v>399705.5</v>
      </c>
      <c r="AS29" s="61">
        <v>65607.44</v>
      </c>
      <c r="AT29" s="1">
        <v>39587.329746395786</v>
      </c>
      <c r="AU29" s="1">
        <v>285139.21324957861</v>
      </c>
      <c r="AV29" s="1"/>
      <c r="AW29" s="1">
        <v>2016986.4877568635</v>
      </c>
      <c r="AX29" s="2">
        <v>1617613.17</v>
      </c>
      <c r="AY29" s="4">
        <v>29595.24</v>
      </c>
      <c r="AZ29" s="4"/>
      <c r="BA29" s="2">
        <v>1601886.8</v>
      </c>
      <c r="BB29" s="2">
        <v>81841.829999999842</v>
      </c>
      <c r="BC29" s="2">
        <f t="shared" si="0"/>
        <v>-492432.4177568634</v>
      </c>
      <c r="BD29" s="2">
        <v>-77332.73</v>
      </c>
      <c r="BE29" s="2">
        <v>66115.459999999963</v>
      </c>
      <c r="BF29" s="62"/>
      <c r="BG29" s="63"/>
      <c r="BH29" s="63"/>
      <c r="BI29" s="63"/>
      <c r="BJ29" s="63"/>
      <c r="BK29" s="63"/>
    </row>
    <row r="30" spans="1:63">
      <c r="A30" s="58" t="s">
        <v>25</v>
      </c>
      <c r="B30" s="1">
        <v>10136.4</v>
      </c>
      <c r="C30" s="60">
        <v>296928.73229495843</v>
      </c>
      <c r="D30" s="3">
        <v>138068.34800093609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>B30*P$66</f>
        <v>0</v>
      </c>
      <c r="Q30" s="1">
        <v>118491.7713033555</v>
      </c>
      <c r="R30" s="6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1">
        <v>262805.66000000003</v>
      </c>
      <c r="AG30" s="1">
        <v>175559.92</v>
      </c>
      <c r="AH30" s="1">
        <v>151057.38</v>
      </c>
      <c r="AI30" s="1">
        <f>3955+2121.79</f>
        <v>6076.79</v>
      </c>
      <c r="AJ30" s="1">
        <f>B30*AJ$65</f>
        <v>0</v>
      </c>
      <c r="AK30" s="1">
        <v>77435.018712469202</v>
      </c>
      <c r="AL30" s="1"/>
      <c r="AM30" s="60">
        <v>5436.4742513902338</v>
      </c>
      <c r="AN30" s="1">
        <v>3759.7347574099449</v>
      </c>
      <c r="AO30" s="1"/>
      <c r="AP30" s="61"/>
      <c r="AQ30" s="61"/>
      <c r="AR30" s="61">
        <v>18049.759999999998</v>
      </c>
      <c r="AS30" s="61">
        <v>26862.68</v>
      </c>
      <c r="AT30" s="1">
        <v>43073.53040375335</v>
      </c>
      <c r="AU30" s="1">
        <v>310249.58363922592</v>
      </c>
      <c r="AV30" s="1"/>
      <c r="AW30" s="1">
        <v>1627778.5933634988</v>
      </c>
      <c r="AX30" s="2">
        <v>1915328.81</v>
      </c>
      <c r="AY30" s="4">
        <v>2484.1200000000536</v>
      </c>
      <c r="AZ30" s="4"/>
      <c r="BA30" s="2">
        <v>1833111.3</v>
      </c>
      <c r="BB30" s="2">
        <v>381274.22</v>
      </c>
      <c r="BC30" s="2">
        <f t="shared" si="0"/>
        <v>315604.83663650136</v>
      </c>
      <c r="BD30" s="2">
        <v>110272.13</v>
      </c>
      <c r="BE30" s="2">
        <v>299056.70999999996</v>
      </c>
      <c r="BF30" s="62"/>
      <c r="BG30" s="63"/>
      <c r="BH30" s="63"/>
      <c r="BI30" s="63"/>
      <c r="BJ30" s="63"/>
      <c r="BK30" s="63"/>
    </row>
    <row r="31" spans="1:63">
      <c r="A31" s="58" t="s">
        <v>30</v>
      </c>
      <c r="B31" s="1">
        <v>13379.6</v>
      </c>
      <c r="C31" s="60">
        <v>392618.05747066281</v>
      </c>
      <c r="D31" s="3">
        <v>182244.11713362974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>B31*P$66</f>
        <v>0</v>
      </c>
      <c r="Q31" s="1">
        <v>193202.44982384035</v>
      </c>
      <c r="R31" s="64">
        <v>2021</v>
      </c>
      <c r="S31" s="3">
        <v>670027.53</v>
      </c>
      <c r="T31" s="3"/>
      <c r="U31" s="3"/>
      <c r="V31" s="3">
        <v>470.5</v>
      </c>
      <c r="W31" s="3">
        <v>84690</v>
      </c>
      <c r="X31" s="3"/>
      <c r="Y31" s="3"/>
      <c r="Z31" s="3"/>
      <c r="AA31" s="3"/>
      <c r="AB31" s="3"/>
      <c r="AC31" s="3">
        <v>1</v>
      </c>
      <c r="AD31" s="3">
        <v>18700</v>
      </c>
      <c r="AE31" s="3"/>
      <c r="AF31" s="1">
        <v>287346.99</v>
      </c>
      <c r="AG31" s="1">
        <v>261785.52</v>
      </c>
      <c r="AH31" s="1">
        <v>225238.85</v>
      </c>
      <c r="AI31" s="1">
        <f>5480+3165.89+19647.31</f>
        <v>28293.200000000001</v>
      </c>
      <c r="AJ31" s="1">
        <f>B31*AJ$65</f>
        <v>0</v>
      </c>
      <c r="AK31" s="1">
        <v>122482.9080700597</v>
      </c>
      <c r="AL31" s="1"/>
      <c r="AM31" s="60">
        <v>7175.9057351624624</v>
      </c>
      <c r="AN31" s="1">
        <v>4962.6837102168529</v>
      </c>
      <c r="AO31" s="1"/>
      <c r="AP31" s="61"/>
      <c r="AQ31" s="61"/>
      <c r="AR31" s="61">
        <v>47872.6</v>
      </c>
      <c r="AS31" s="61">
        <v>183946.1</v>
      </c>
      <c r="AT31" s="1">
        <v>56855.156405633003</v>
      </c>
      <c r="AU31" s="1">
        <v>409515.73825612519</v>
      </c>
      <c r="AV31" s="1"/>
      <c r="AW31" s="1">
        <v>3148664.6066053305</v>
      </c>
      <c r="AX31" s="2">
        <v>2505904.3599999994</v>
      </c>
      <c r="AY31" s="4">
        <v>3136.61</v>
      </c>
      <c r="AZ31" s="4"/>
      <c r="BA31" s="2">
        <v>2451647.5299999998</v>
      </c>
      <c r="BB31" s="2">
        <v>282715.23999999929</v>
      </c>
      <c r="BC31" s="2">
        <f t="shared" si="0"/>
        <v>-584576.82660533069</v>
      </c>
      <c r="BD31" s="2">
        <v>112440.25</v>
      </c>
      <c r="BE31" s="2">
        <v>228458.40999999968</v>
      </c>
      <c r="BF31" s="62"/>
      <c r="BG31" s="63"/>
      <c r="BH31" s="63"/>
      <c r="BI31" s="63"/>
      <c r="BJ31" s="63"/>
      <c r="BK31" s="63"/>
    </row>
    <row r="32" spans="1:63">
      <c r="A32" s="58" t="s">
        <v>31</v>
      </c>
      <c r="B32" s="1">
        <v>4634.1000000000004</v>
      </c>
      <c r="C32" s="60">
        <v>113266.57189742581</v>
      </c>
      <c r="D32" s="3">
        <v>63121.278902878534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f>B32*P$66</f>
        <v>0</v>
      </c>
      <c r="Q32" s="1">
        <v>47206.528086389619</v>
      </c>
      <c r="R32" s="64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">
        <v>155186.43000000002</v>
      </c>
      <c r="AG32" s="1">
        <v>89758.38</v>
      </c>
      <c r="AH32" s="1"/>
      <c r="AI32" s="1">
        <f>222.5</f>
        <v>222.5</v>
      </c>
      <c r="AJ32" s="1">
        <f>B32*AJ$65</f>
        <v>0</v>
      </c>
      <c r="AK32" s="1">
        <v>32845.637176557124</v>
      </c>
      <c r="AL32" s="1"/>
      <c r="AM32" s="60">
        <v>2485.4154658821167</v>
      </c>
      <c r="AN32" s="1">
        <v>1718.8535218927261</v>
      </c>
      <c r="AO32" s="1"/>
      <c r="AP32" s="61"/>
      <c r="AQ32" s="61"/>
      <c r="AR32" s="61">
        <v>20416.329999999998</v>
      </c>
      <c r="AS32" s="61">
        <v>41225.730000000003</v>
      </c>
      <c r="AT32" s="1">
        <v>19692.104420113003</v>
      </c>
      <c r="AU32" s="1">
        <v>141838.08803347708</v>
      </c>
      <c r="AV32" s="1"/>
      <c r="AW32" s="1">
        <v>728761.34750461602</v>
      </c>
      <c r="AX32" s="2">
        <v>777651.08</v>
      </c>
      <c r="AY32" s="4">
        <v>255.1</v>
      </c>
      <c r="AZ32" s="4"/>
      <c r="BA32" s="2">
        <v>729932.23999999987</v>
      </c>
      <c r="BB32" s="2">
        <v>127947.12</v>
      </c>
      <c r="BC32" s="2">
        <f>BD32+BA32-AW32</f>
        <v>39601.482495383825</v>
      </c>
      <c r="BD32" s="2">
        <v>38430.589999999997</v>
      </c>
      <c r="BE32" s="2">
        <v>80228.279999999912</v>
      </c>
      <c r="BF32" s="62"/>
      <c r="BG32" s="63"/>
      <c r="BH32" s="63"/>
      <c r="BI32" s="63"/>
      <c r="BJ32" s="63"/>
      <c r="BK32" s="63"/>
    </row>
    <row r="33" spans="1:63">
      <c r="A33" s="58" t="s">
        <v>32</v>
      </c>
      <c r="B33" s="1">
        <v>3169.5</v>
      </c>
      <c r="C33" s="60">
        <v>104322.12475139211</v>
      </c>
      <c r="D33" s="3">
        <v>43171.898207348459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f>B33*P$66</f>
        <v>0</v>
      </c>
      <c r="Q33" s="1">
        <v>21401.88312181694</v>
      </c>
      <c r="R33" s="64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1">
        <v>111040.85</v>
      </c>
      <c r="AG33" s="1">
        <v>48722.58</v>
      </c>
      <c r="AH33" s="1">
        <v>75117.78</v>
      </c>
      <c r="AI33" s="1"/>
      <c r="AJ33" s="1">
        <f>B33*AJ$65</f>
        <v>0</v>
      </c>
      <c r="AK33" s="1">
        <v>22312.646097645236</v>
      </c>
      <c r="AL33" s="1"/>
      <c r="AM33" s="60">
        <v>1699.9038257943005</v>
      </c>
      <c r="AN33" s="1">
        <v>1175.6125758268045</v>
      </c>
      <c r="AO33" s="1">
        <v>213296.4</v>
      </c>
      <c r="AP33" s="61"/>
      <c r="AQ33" s="61"/>
      <c r="AR33" s="61">
        <v>18915.349999999999</v>
      </c>
      <c r="AS33" s="61">
        <v>94199.23</v>
      </c>
      <c r="AT33" s="1">
        <v>13468.445859940044</v>
      </c>
      <c r="AU33" s="1">
        <v>97010.3838980828</v>
      </c>
      <c r="AV33" s="1"/>
      <c r="AW33" s="1">
        <v>865855.08833784657</v>
      </c>
      <c r="AX33" s="2">
        <v>836704.59000000008</v>
      </c>
      <c r="AY33" s="4">
        <v>1970.42</v>
      </c>
      <c r="AZ33" s="4"/>
      <c r="BA33" s="2">
        <v>834641.80999999982</v>
      </c>
      <c r="BB33" s="2">
        <v>60127.430000000284</v>
      </c>
      <c r="BC33" s="2">
        <f t="shared" si="0"/>
        <v>-20673.468337846687</v>
      </c>
      <c r="BD33" s="2">
        <v>10539.81</v>
      </c>
      <c r="BE33" s="2">
        <v>58064.650000000023</v>
      </c>
      <c r="BF33" s="62"/>
      <c r="BG33" s="63"/>
      <c r="BH33" s="63"/>
      <c r="BI33" s="63"/>
      <c r="BJ33" s="63"/>
      <c r="BK33" s="63"/>
    </row>
    <row r="34" spans="1:63">
      <c r="A34" s="58" t="s">
        <v>61</v>
      </c>
      <c r="B34" s="1">
        <v>3594</v>
      </c>
      <c r="C34" s="60">
        <v>163984.83130825151</v>
      </c>
      <c r="D34" s="3">
        <v>48954.031284811601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f>B34*P$66</f>
        <v>0</v>
      </c>
      <c r="Q34" s="1">
        <v>24268.297188771128</v>
      </c>
      <c r="R34" s="64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">
        <v>118652.44</v>
      </c>
      <c r="AG34" s="1">
        <v>70212.2</v>
      </c>
      <c r="AH34" s="1">
        <v>60437.27</v>
      </c>
      <c r="AI34" s="1">
        <f>190</f>
        <v>190</v>
      </c>
      <c r="AJ34" s="1">
        <f>B34*AJ$65</f>
        <v>0</v>
      </c>
      <c r="AK34" s="1">
        <v>25491.041197329854</v>
      </c>
      <c r="AL34" s="1"/>
      <c r="AM34" s="60">
        <v>1927.5766997648575</v>
      </c>
      <c r="AN34" s="1">
        <v>1333.0656562617244</v>
      </c>
      <c r="AO34" s="1"/>
      <c r="AP34" s="61"/>
      <c r="AQ34" s="61"/>
      <c r="AR34" s="61">
        <v>14529.41</v>
      </c>
      <c r="AS34" s="61">
        <v>39591.69</v>
      </c>
      <c r="AT34" s="1">
        <v>15272.312484816064</v>
      </c>
      <c r="AU34" s="1">
        <v>110003.25594879621</v>
      </c>
      <c r="AV34" s="1"/>
      <c r="AW34" s="1">
        <v>694657.42176880315</v>
      </c>
      <c r="AX34" s="2">
        <v>664782.25999999989</v>
      </c>
      <c r="AY34" s="4">
        <v>9244.7999999999993</v>
      </c>
      <c r="AZ34" s="4"/>
      <c r="BA34" s="2">
        <v>642869.97</v>
      </c>
      <c r="BB34" s="2">
        <v>148612.61999999988</v>
      </c>
      <c r="BC34" s="2">
        <f t="shared" si="0"/>
        <v>67689.538231196813</v>
      </c>
      <c r="BD34" s="2">
        <v>119476.99</v>
      </c>
      <c r="BE34" s="2">
        <v>126700.32999999996</v>
      </c>
      <c r="BF34" s="62"/>
      <c r="BG34" s="63"/>
      <c r="BH34" s="63"/>
      <c r="BI34" s="63"/>
      <c r="BJ34" s="63"/>
      <c r="BK34" s="63"/>
    </row>
    <row r="35" spans="1:63">
      <c r="A35" s="58" t="s">
        <v>33</v>
      </c>
      <c r="B35" s="1">
        <v>3572.9</v>
      </c>
      <c r="C35" s="60">
        <v>126236.58897852307</v>
      </c>
      <c r="D35" s="3">
        <v>48666.627261408838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f>B35*P$66</f>
        <v>0</v>
      </c>
      <c r="Q35" s="1">
        <v>43860.070541391309</v>
      </c>
      <c r="R35" s="64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1">
        <v>108929.2</v>
      </c>
      <c r="AG35" s="1">
        <v>70005.48</v>
      </c>
      <c r="AH35" s="1">
        <v>60232.69</v>
      </c>
      <c r="AI35" s="1">
        <f>2629.5+5250.48</f>
        <v>7879.98</v>
      </c>
      <c r="AJ35" s="1">
        <f>B35*AJ$65</f>
        <v>0</v>
      </c>
      <c r="AK35" s="1">
        <v>33032.481417345531</v>
      </c>
      <c r="AL35" s="1"/>
      <c r="AM35" s="60">
        <v>1916.2600975486532</v>
      </c>
      <c r="AN35" s="1">
        <v>1325.2393665157249</v>
      </c>
      <c r="AO35" s="1"/>
      <c r="AP35" s="61"/>
      <c r="AQ35" s="61"/>
      <c r="AR35" s="61">
        <v>14450.970000000001</v>
      </c>
      <c r="AS35" s="61">
        <v>33212.78</v>
      </c>
      <c r="AT35" s="1">
        <v>15182.650327490072</v>
      </c>
      <c r="AU35" s="1">
        <v>109357.43828031553</v>
      </c>
      <c r="AV35" s="1"/>
      <c r="AW35" s="1">
        <v>666408.47627053864</v>
      </c>
      <c r="AX35" s="2">
        <v>662826.1</v>
      </c>
      <c r="AY35" s="4">
        <v>10437.9</v>
      </c>
      <c r="AZ35" s="4"/>
      <c r="BA35" s="2">
        <v>660236.48</v>
      </c>
      <c r="BB35" s="2">
        <v>33997.210000000079</v>
      </c>
      <c r="BC35" s="2">
        <f t="shared" si="0"/>
        <v>-19169.096270538634</v>
      </c>
      <c r="BD35" s="2">
        <v>-12997.1</v>
      </c>
      <c r="BE35" s="2">
        <v>31407.590000000084</v>
      </c>
      <c r="BF35" s="62"/>
      <c r="BG35" s="63"/>
      <c r="BH35" s="63"/>
      <c r="BI35" s="63"/>
      <c r="BJ35" s="63"/>
      <c r="BK35" s="63"/>
    </row>
    <row r="36" spans="1:63">
      <c r="A36" s="58" t="s">
        <v>34</v>
      </c>
      <c r="B36" s="1">
        <v>16262.3</v>
      </c>
      <c r="C36" s="60">
        <v>685954.0202841342</v>
      </c>
      <c r="D36" s="3">
        <v>221509.49998970274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f>B36*P$66</f>
        <v>0</v>
      </c>
      <c r="Q36" s="1">
        <v>608051.17093293066</v>
      </c>
      <c r="R36" s="64">
        <v>493</v>
      </c>
      <c r="S36" s="3">
        <v>196076.54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">
        <v>576030.84</v>
      </c>
      <c r="AG36" s="1">
        <v>282238.83</v>
      </c>
      <c r="AH36" s="1">
        <v>243679.75</v>
      </c>
      <c r="AI36" s="1">
        <f>11512.5+67000</f>
        <v>78512.5</v>
      </c>
      <c r="AJ36" s="1">
        <f>B36*AJ$65</f>
        <v>0</v>
      </c>
      <c r="AK36" s="1">
        <v>192995.83952791803</v>
      </c>
      <c r="AL36" s="1"/>
      <c r="AM36" s="60">
        <v>8721.9895839137571</v>
      </c>
      <c r="AN36" s="1">
        <v>6031.9180917710182</v>
      </c>
      <c r="AO36" s="1"/>
      <c r="AP36" s="61"/>
      <c r="AQ36" s="61"/>
      <c r="AR36" s="61">
        <v>87502.38</v>
      </c>
      <c r="AS36" s="61">
        <v>145965.48000000001</v>
      </c>
      <c r="AT36" s="1">
        <v>69104.876828554334</v>
      </c>
      <c r="AU36" s="1">
        <v>497747.89905846096</v>
      </c>
      <c r="AV36" s="1"/>
      <c r="AW36" s="1">
        <v>3821611.0342973857</v>
      </c>
      <c r="AX36" s="2">
        <v>2934141.61</v>
      </c>
      <c r="AY36" s="4">
        <v>3840.140000000014</v>
      </c>
      <c r="AZ36" s="4"/>
      <c r="BA36" s="2">
        <v>2837494.8299999996</v>
      </c>
      <c r="BB36" s="2">
        <v>421013.78000000073</v>
      </c>
      <c r="BC36" s="2">
        <f t="shared" si="0"/>
        <v>-750794.1542973863</v>
      </c>
      <c r="BD36" s="2">
        <v>233322.05</v>
      </c>
      <c r="BE36" s="2">
        <v>324367.00000000047</v>
      </c>
      <c r="BF36" s="62"/>
      <c r="BG36" s="63"/>
      <c r="BH36" s="63"/>
      <c r="BI36" s="63"/>
      <c r="BJ36" s="63"/>
      <c r="BK36" s="63"/>
    </row>
    <row r="37" spans="1:63">
      <c r="A37" s="58" t="s">
        <v>35</v>
      </c>
      <c r="B37" s="1">
        <v>6184.5</v>
      </c>
      <c r="C37" s="60">
        <v>259602.58867325584</v>
      </c>
      <c r="D37" s="3">
        <v>84239.345153288072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f>B37*P$66</f>
        <v>0</v>
      </c>
      <c r="Q37" s="1">
        <v>41947.413067321941</v>
      </c>
      <c r="R37" s="64"/>
      <c r="S37" s="3"/>
      <c r="T37" s="3"/>
      <c r="U37" s="3"/>
      <c r="V37" s="3">
        <v>159.6</v>
      </c>
      <c r="W37" s="3">
        <v>28728</v>
      </c>
      <c r="X37" s="3"/>
      <c r="Y37" s="3"/>
      <c r="Z37" s="3"/>
      <c r="AA37" s="3"/>
      <c r="AB37" s="3"/>
      <c r="AC37" s="3"/>
      <c r="AD37" s="3"/>
      <c r="AE37" s="3"/>
      <c r="AF37" s="1">
        <v>178808.5</v>
      </c>
      <c r="AG37" s="1">
        <v>117926.46</v>
      </c>
      <c r="AH37" s="1">
        <v>101443.01</v>
      </c>
      <c r="AI37" s="1">
        <f>911</f>
        <v>911</v>
      </c>
      <c r="AJ37" s="1">
        <f>B37*AJ$65</f>
        <v>0</v>
      </c>
      <c r="AK37" s="1">
        <v>44448.643095405256</v>
      </c>
      <c r="AL37" s="1"/>
      <c r="AM37" s="60">
        <v>3316.9443794367726</v>
      </c>
      <c r="AN37" s="1">
        <v>4521.3489068310055</v>
      </c>
      <c r="AO37" s="1"/>
      <c r="AP37" s="61"/>
      <c r="AQ37" s="61"/>
      <c r="AR37" s="61">
        <v>32439.469999999998</v>
      </c>
      <c r="AS37" s="61">
        <v>89805.7</v>
      </c>
      <c r="AT37" s="1">
        <v>26280.360757469378</v>
      </c>
      <c r="AU37" s="1">
        <v>189291.91330420985</v>
      </c>
      <c r="AV37" s="1"/>
      <c r="AW37" s="1">
        <v>1202799.6973372181</v>
      </c>
      <c r="AX37" s="2">
        <v>1133328.0200000003</v>
      </c>
      <c r="AY37" s="4">
        <v>12137.16</v>
      </c>
      <c r="AZ37" s="4"/>
      <c r="BA37" s="2">
        <v>1107944.96</v>
      </c>
      <c r="BB37" s="2">
        <v>72286.350000000093</v>
      </c>
      <c r="BC37" s="2">
        <f t="shared" si="0"/>
        <v>-160633.54733721819</v>
      </c>
      <c r="BD37" s="2">
        <v>-65778.81</v>
      </c>
      <c r="BE37" s="2">
        <v>46903.289999999921</v>
      </c>
      <c r="BF37" s="62"/>
      <c r="BG37" s="63"/>
      <c r="BH37" s="63"/>
      <c r="BI37" s="63"/>
      <c r="BJ37" s="63"/>
      <c r="BK37" s="63"/>
    </row>
    <row r="38" spans="1:63">
      <c r="A38" s="58" t="s">
        <v>36</v>
      </c>
      <c r="B38" s="1">
        <v>4570.5</v>
      </c>
      <c r="C38" s="60"/>
      <c r="D38" s="3">
        <v>62254.980519541299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f>B38*P$66</f>
        <v>0</v>
      </c>
      <c r="Q38" s="1">
        <v>37905.442409927222</v>
      </c>
      <c r="R38" s="64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">
        <v>187856.13</v>
      </c>
      <c r="AG38" s="1">
        <v>87226.98</v>
      </c>
      <c r="AH38" s="1">
        <v>75049.42</v>
      </c>
      <c r="AI38" s="1"/>
      <c r="AJ38" s="1">
        <f>B38*AJ$65</f>
        <v>0</v>
      </c>
      <c r="AK38" s="1">
        <v>32175.405896604367</v>
      </c>
      <c r="AL38" s="1"/>
      <c r="AM38" s="60">
        <v>2451.304759675927</v>
      </c>
      <c r="AN38" s="1">
        <v>1695.2633783929357</v>
      </c>
      <c r="AO38" s="1"/>
      <c r="AP38" s="61"/>
      <c r="AQ38" s="61"/>
      <c r="AR38" s="61">
        <v>20373.079999999998</v>
      </c>
      <c r="AS38" s="61">
        <v>15328.2</v>
      </c>
      <c r="AT38" s="1">
        <v>19421.843130732283</v>
      </c>
      <c r="AU38" s="1">
        <v>139891.45278630304</v>
      </c>
      <c r="AV38" s="1"/>
      <c r="AW38" s="1">
        <v>836140.99342994252</v>
      </c>
      <c r="AX38" s="2">
        <v>841124.36</v>
      </c>
      <c r="AY38" s="4">
        <v>289.80000000000291</v>
      </c>
      <c r="AZ38" s="4"/>
      <c r="BA38" s="2">
        <v>873331.51999999979</v>
      </c>
      <c r="BB38" s="2">
        <v>88566.8400000002</v>
      </c>
      <c r="BC38" s="2">
        <f t="shared" si="0"/>
        <v>84759.546570057282</v>
      </c>
      <c r="BD38" s="2">
        <v>47569.02</v>
      </c>
      <c r="BE38" s="2">
        <v>120774</v>
      </c>
      <c r="BF38" s="62"/>
      <c r="BG38" s="63"/>
      <c r="BH38" s="63"/>
      <c r="BI38" s="63"/>
      <c r="BJ38" s="63"/>
      <c r="BK38" s="63"/>
    </row>
    <row r="39" spans="1:63">
      <c r="A39" s="58" t="s">
        <v>37</v>
      </c>
      <c r="B39" s="1">
        <v>8206.6</v>
      </c>
      <c r="C39" s="60">
        <v>205795.63875998245</v>
      </c>
      <c r="D39" s="3">
        <v>111782.45774678211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f>B39*P$66</f>
        <v>0</v>
      </c>
      <c r="Q39" s="1">
        <v>73816.127648683687</v>
      </c>
      <c r="R39" s="64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1">
        <v>264535.90000000002</v>
      </c>
      <c r="AG39" s="1">
        <v>149444.95000000001</v>
      </c>
      <c r="AH39" s="1">
        <v>128581.69</v>
      </c>
      <c r="AI39" s="1">
        <f>2440</f>
        <v>2440</v>
      </c>
      <c r="AJ39" s="1">
        <f>B39*AJ$65</f>
        <v>0</v>
      </c>
      <c r="AK39" s="1">
        <v>60212.822673902949</v>
      </c>
      <c r="AL39" s="1"/>
      <c r="AM39" s="60">
        <v>4401.4610306873346</v>
      </c>
      <c r="AN39" s="1">
        <v>3043.9445227260621</v>
      </c>
      <c r="AO39" s="1"/>
      <c r="AP39" s="61"/>
      <c r="AQ39" s="61"/>
      <c r="AR39" s="61">
        <v>34624.519999999997</v>
      </c>
      <c r="AS39" s="61">
        <v>138869.79</v>
      </c>
      <c r="AT39" s="1">
        <v>34873.054991066085</v>
      </c>
      <c r="AU39" s="1">
        <v>251183.28332481667</v>
      </c>
      <c r="AV39" s="1"/>
      <c r="AW39" s="1">
        <v>1461165.6406986476</v>
      </c>
      <c r="AX39" s="2">
        <v>1751296.1</v>
      </c>
      <c r="AY39" s="4">
        <v>69821.420000000013</v>
      </c>
      <c r="AZ39" s="4">
        <v>269636.53000000003</v>
      </c>
      <c r="BA39" s="2">
        <v>1663198.1100000003</v>
      </c>
      <c r="BB39" s="2">
        <v>371457.0299999998</v>
      </c>
      <c r="BC39" s="2">
        <f t="shared" si="0"/>
        <v>347628.78930135281</v>
      </c>
      <c r="BD39" s="2">
        <v>145596.32</v>
      </c>
      <c r="BE39" s="2">
        <v>283359.04000000004</v>
      </c>
      <c r="BF39" s="62"/>
      <c r="BG39" s="63"/>
      <c r="BH39" s="63"/>
      <c r="BI39" s="63"/>
      <c r="BJ39" s="63"/>
      <c r="BK39" s="63"/>
    </row>
    <row r="40" spans="1:63">
      <c r="A40" s="58" t="s">
        <v>38</v>
      </c>
      <c r="B40" s="1">
        <v>16346.5</v>
      </c>
      <c r="C40" s="60">
        <v>489099.64220006502</v>
      </c>
      <c r="D40" s="3">
        <v>222656.39187456117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f>B40*P$66</f>
        <v>0</v>
      </c>
      <c r="Q40" s="1">
        <v>147457.82703290129</v>
      </c>
      <c r="R40" s="64"/>
      <c r="S40" s="3"/>
      <c r="T40" s="3"/>
      <c r="U40" s="3"/>
      <c r="V40" s="3">
        <v>197.8</v>
      </c>
      <c r="W40" s="3">
        <v>35604</v>
      </c>
      <c r="X40" s="3"/>
      <c r="Y40" s="3"/>
      <c r="Z40" s="3"/>
      <c r="AA40" s="3"/>
      <c r="AB40" s="3"/>
      <c r="AC40" s="3"/>
      <c r="AD40" s="3"/>
      <c r="AE40" s="3"/>
      <c r="AF40" s="1">
        <v>287369.96000000002</v>
      </c>
      <c r="AG40" s="1">
        <v>292910.09999999998</v>
      </c>
      <c r="AH40" s="1">
        <v>480527.05</v>
      </c>
      <c r="AI40" s="1">
        <f>4696</f>
        <v>4696</v>
      </c>
      <c r="AJ40" s="1">
        <f>B40*AJ$65</f>
        <v>0</v>
      </c>
      <c r="AK40" s="1">
        <v>119772.09068785545</v>
      </c>
      <c r="AL40" s="1"/>
      <c r="AM40" s="60">
        <v>8767.1487264068564</v>
      </c>
      <c r="AN40" s="1">
        <v>9713.1490679138224</v>
      </c>
      <c r="AO40" s="1">
        <v>1195619.8799999999</v>
      </c>
      <c r="AP40" s="61">
        <v>65925.06</v>
      </c>
      <c r="AQ40" s="61"/>
      <c r="AR40" s="61">
        <v>331164.25000000006</v>
      </c>
      <c r="AS40" s="61">
        <v>194504.47</v>
      </c>
      <c r="AT40" s="1">
        <v>69462.675579589821</v>
      </c>
      <c r="AU40" s="1">
        <v>500325.04823789577</v>
      </c>
      <c r="AV40" s="1"/>
      <c r="AW40" s="1">
        <v>4450878.7434071889</v>
      </c>
      <c r="AX40" s="2">
        <v>4525832.3600000003</v>
      </c>
      <c r="AY40" s="4">
        <v>98491.02</v>
      </c>
      <c r="AZ40" s="4"/>
      <c r="BA40" s="2">
        <v>4348845.1500000004</v>
      </c>
      <c r="BB40" s="2">
        <v>901077.06999999937</v>
      </c>
      <c r="BC40" s="2">
        <f t="shared" si="0"/>
        <v>173268.06659281161</v>
      </c>
      <c r="BD40" s="2">
        <v>275301.65999999997</v>
      </c>
      <c r="BE40" s="2">
        <v>724089.8599999994</v>
      </c>
      <c r="BF40" s="62"/>
      <c r="BG40" s="63"/>
      <c r="BH40" s="63"/>
      <c r="BI40" s="63"/>
      <c r="BJ40" s="63"/>
      <c r="BK40" s="63"/>
    </row>
    <row r="41" spans="1:63">
      <c r="A41" s="58" t="s">
        <v>39</v>
      </c>
      <c r="B41" s="1">
        <v>17722.2</v>
      </c>
      <c r="C41" s="60">
        <v>499917.05979506258</v>
      </c>
      <c r="D41" s="3">
        <v>241394.86177954596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f>B41*P$66</f>
        <v>0</v>
      </c>
      <c r="Q41" s="1">
        <v>175335.69939311067</v>
      </c>
      <c r="R41" s="64"/>
      <c r="S41" s="3"/>
      <c r="T41" s="3"/>
      <c r="U41" s="3"/>
      <c r="V41" s="3">
        <v>394.7</v>
      </c>
      <c r="W41" s="3">
        <v>71046</v>
      </c>
      <c r="X41" s="3"/>
      <c r="Y41" s="3"/>
      <c r="Z41" s="3"/>
      <c r="AA41" s="3"/>
      <c r="AB41" s="3"/>
      <c r="AC41" s="3"/>
      <c r="AD41" s="3"/>
      <c r="AE41" s="3"/>
      <c r="AF41" s="1">
        <v>305278.68</v>
      </c>
      <c r="AG41" s="1">
        <v>334196.78000000003</v>
      </c>
      <c r="AH41" s="1">
        <v>547433.46</v>
      </c>
      <c r="AI41" s="1">
        <f>8132.5</f>
        <v>8132.5</v>
      </c>
      <c r="AJ41" s="1">
        <f>B41*AJ$65</f>
        <v>0</v>
      </c>
      <c r="AK41" s="1">
        <v>132893.2435468334</v>
      </c>
      <c r="AL41" s="1"/>
      <c r="AM41" s="60">
        <v>9504.9804642662111</v>
      </c>
      <c r="AN41" s="1">
        <v>6573.415741068874</v>
      </c>
      <c r="AO41" s="1">
        <v>1359136.09</v>
      </c>
      <c r="AP41" s="61">
        <v>75215.900000000009</v>
      </c>
      <c r="AQ41" s="61"/>
      <c r="AR41" s="61">
        <v>473902.57</v>
      </c>
      <c r="AS41" s="61">
        <v>82330.91</v>
      </c>
      <c r="AT41" s="1">
        <v>75308.563249417712</v>
      </c>
      <c r="AU41" s="1">
        <v>542431.74807338801</v>
      </c>
      <c r="AV41" s="1"/>
      <c r="AW41" s="1">
        <v>4931899.962042694</v>
      </c>
      <c r="AX41" s="2">
        <v>5150729.7200000007</v>
      </c>
      <c r="AY41" s="4">
        <v>21474.530000000028</v>
      </c>
      <c r="AZ41" s="4"/>
      <c r="BA41" s="2">
        <v>4912647.7100000009</v>
      </c>
      <c r="BB41" s="2">
        <v>1133041.129999999</v>
      </c>
      <c r="BC41" s="2">
        <f t="shared" si="0"/>
        <v>116908.33795730677</v>
      </c>
      <c r="BD41" s="2">
        <v>136160.59</v>
      </c>
      <c r="BE41" s="2">
        <v>894959.11999999918</v>
      </c>
      <c r="BF41" s="62"/>
      <c r="BG41" s="63"/>
      <c r="BH41" s="63"/>
      <c r="BI41" s="63"/>
      <c r="BJ41" s="63"/>
      <c r="BK41" s="63"/>
    </row>
    <row r="42" spans="1:63">
      <c r="A42" s="58" t="s">
        <v>40</v>
      </c>
      <c r="B42" s="1">
        <v>6614.2</v>
      </c>
      <c r="C42" s="60">
        <v>276623.54110767873</v>
      </c>
      <c r="D42" s="3">
        <v>90092.307658319667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f>B42*P$66</f>
        <v>0</v>
      </c>
      <c r="Q42" s="1">
        <v>53412.699862540343</v>
      </c>
      <c r="R42" s="64"/>
      <c r="S42" s="3"/>
      <c r="T42" s="3"/>
      <c r="U42" s="3"/>
      <c r="V42" s="3">
        <v>28</v>
      </c>
      <c r="W42" s="3">
        <v>5040</v>
      </c>
      <c r="X42" s="3"/>
      <c r="Y42" s="3"/>
      <c r="Z42" s="3"/>
      <c r="AA42" s="3"/>
      <c r="AB42" s="3"/>
      <c r="AC42" s="3"/>
      <c r="AD42" s="3"/>
      <c r="AE42" s="3"/>
      <c r="AF42" s="1">
        <v>114954.59</v>
      </c>
      <c r="AG42" s="1">
        <v>119009.38</v>
      </c>
      <c r="AH42" s="1">
        <v>199111.02000000002</v>
      </c>
      <c r="AI42" s="1">
        <f>351</f>
        <v>351</v>
      </c>
      <c r="AJ42" s="1">
        <f>B42*AJ$65</f>
        <v>0</v>
      </c>
      <c r="AK42" s="1">
        <v>46913.645155086007</v>
      </c>
      <c r="AL42" s="1"/>
      <c r="AM42" s="60">
        <v>3547.4061790719866</v>
      </c>
      <c r="AN42" s="1">
        <v>2453.3007411369776</v>
      </c>
      <c r="AO42" s="1">
        <v>483946.86</v>
      </c>
      <c r="AP42" s="61"/>
      <c r="AQ42" s="61"/>
      <c r="AR42" s="61">
        <v>49724.15</v>
      </c>
      <c r="AS42" s="61">
        <v>101597.55</v>
      </c>
      <c r="AT42" s="1">
        <v>28106.324217326212</v>
      </c>
      <c r="AU42" s="1">
        <v>202443.94421161045</v>
      </c>
      <c r="AV42" s="1"/>
      <c r="AW42" s="1">
        <v>1776976.7191327703</v>
      </c>
      <c r="AX42" s="2">
        <v>1849951.52</v>
      </c>
      <c r="AY42" s="4">
        <v>737.44</v>
      </c>
      <c r="AZ42" s="4"/>
      <c r="BA42" s="2">
        <v>1768022.4700000002</v>
      </c>
      <c r="BB42" s="2">
        <v>343313.96999999974</v>
      </c>
      <c r="BC42" s="2">
        <f t="shared" si="0"/>
        <v>146120.83086722996</v>
      </c>
      <c r="BD42" s="2">
        <v>155075.07999999999</v>
      </c>
      <c r="BE42" s="2">
        <v>261384.91999999993</v>
      </c>
      <c r="BF42" s="62"/>
      <c r="BG42" s="63"/>
      <c r="BH42" s="63"/>
      <c r="BI42" s="63"/>
      <c r="BJ42" s="63"/>
      <c r="BK42" s="63"/>
    </row>
    <row r="43" spans="1:63">
      <c r="A43" s="58" t="s">
        <v>41</v>
      </c>
      <c r="B43" s="1">
        <v>6582.9</v>
      </c>
      <c r="C43" s="60">
        <v>295878.58946580661</v>
      </c>
      <c r="D43" s="3">
        <v>89665.968988532622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f>B43*P$66</f>
        <v>0</v>
      </c>
      <c r="Q43" s="1">
        <v>51921.568248180702</v>
      </c>
      <c r="R43" s="64"/>
      <c r="S43" s="3"/>
      <c r="T43" s="3"/>
      <c r="U43" s="3"/>
      <c r="V43" s="3">
        <v>45.8</v>
      </c>
      <c r="W43" s="3">
        <v>8244</v>
      </c>
      <c r="X43" s="3"/>
      <c r="Y43" s="3"/>
      <c r="Z43" s="3"/>
      <c r="AA43" s="3"/>
      <c r="AB43" s="3"/>
      <c r="AC43" s="3"/>
      <c r="AD43" s="3"/>
      <c r="AE43" s="3"/>
      <c r="AF43" s="1">
        <v>136193.50999999998</v>
      </c>
      <c r="AG43" s="1">
        <v>118296.18</v>
      </c>
      <c r="AH43" s="1">
        <v>113876.26</v>
      </c>
      <c r="AI43" s="1">
        <f>2910</f>
        <v>2910</v>
      </c>
      <c r="AJ43" s="1">
        <f>B43*AJ$65</f>
        <v>0</v>
      </c>
      <c r="AK43" s="1">
        <v>49252.299415109264</v>
      </c>
      <c r="AL43" s="1"/>
      <c r="AM43" s="60">
        <v>3530.6189918981859</v>
      </c>
      <c r="AN43" s="1">
        <v>2441.6911264900682</v>
      </c>
      <c r="AO43" s="1">
        <v>480734.28</v>
      </c>
      <c r="AP43" s="61">
        <v>47409.24</v>
      </c>
      <c r="AQ43" s="61"/>
      <c r="AR43" s="61">
        <v>367533.92</v>
      </c>
      <c r="AS43" s="61">
        <v>150619.64000000001</v>
      </c>
      <c r="AT43" s="1">
        <v>27973.318268307085</v>
      </c>
      <c r="AU43" s="1">
        <v>201485.93032424335</v>
      </c>
      <c r="AV43" s="1"/>
      <c r="AW43" s="1">
        <v>2145057.0148285679</v>
      </c>
      <c r="AX43" s="2">
        <v>1879228.38</v>
      </c>
      <c r="AY43" s="4">
        <v>0</v>
      </c>
      <c r="AZ43" s="4"/>
      <c r="BA43" s="2">
        <v>1856554.19</v>
      </c>
      <c r="BB43" s="2">
        <v>158864.93000000017</v>
      </c>
      <c r="BC43" s="2">
        <f t="shared" si="0"/>
        <v>-302504.83482856792</v>
      </c>
      <c r="BD43" s="2">
        <v>-14002.01</v>
      </c>
      <c r="BE43" s="2">
        <v>136190.74000000022</v>
      </c>
      <c r="BF43" s="62"/>
      <c r="BG43" s="63"/>
      <c r="BH43" s="63"/>
      <c r="BI43" s="63"/>
      <c r="BJ43" s="63"/>
      <c r="BK43" s="63"/>
    </row>
    <row r="44" spans="1:63">
      <c r="A44" s="58" t="s">
        <v>42</v>
      </c>
      <c r="B44" s="1">
        <v>13956.8</v>
      </c>
      <c r="C44" s="60">
        <v>664114.14298020175</v>
      </c>
      <c r="D44" s="3">
        <v>190106.18359372803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>
        <f>B44*P$66</f>
        <v>0</v>
      </c>
      <c r="Q44" s="1">
        <v>119834.89266116885</v>
      </c>
      <c r="R44" s="64"/>
      <c r="S44" s="3"/>
      <c r="T44" s="3"/>
      <c r="U44" s="3"/>
      <c r="V44" s="3">
        <v>67</v>
      </c>
      <c r="W44" s="3">
        <v>12060</v>
      </c>
      <c r="X44" s="3"/>
      <c r="Y44" s="3"/>
      <c r="Z44" s="3"/>
      <c r="AA44" s="3"/>
      <c r="AB44" s="3"/>
      <c r="AC44" s="3"/>
      <c r="AD44" s="3"/>
      <c r="AE44" s="3"/>
      <c r="AF44" s="1">
        <v>245653.6</v>
      </c>
      <c r="AG44" s="1">
        <v>250585.88</v>
      </c>
      <c r="AH44" s="1">
        <v>189308.47</v>
      </c>
      <c r="AI44" s="1">
        <f>1705</f>
        <v>1705</v>
      </c>
      <c r="AJ44" s="1">
        <f>B44*AJ$65</f>
        <v>0</v>
      </c>
      <c r="AK44" s="1">
        <v>102382.08062963086</v>
      </c>
      <c r="AL44" s="1"/>
      <c r="AM44" s="60">
        <v>7485.4764839393883</v>
      </c>
      <c r="AN44" s="1">
        <v>5176.775389903627</v>
      </c>
      <c r="AO44" s="1">
        <v>1022343.99</v>
      </c>
      <c r="AP44" s="61"/>
      <c r="AQ44" s="61"/>
      <c r="AR44" s="61">
        <v>102010.76000000001</v>
      </c>
      <c r="AS44" s="61">
        <v>214272.67</v>
      </c>
      <c r="AT44" s="1">
        <v>59307.905088503292</v>
      </c>
      <c r="AU44" s="1">
        <v>427182.37134840258</v>
      </c>
      <c r="AV44" s="1"/>
      <c r="AW44" s="1">
        <v>3611825.1981754778</v>
      </c>
      <c r="AX44" s="2">
        <v>3640417.8400000003</v>
      </c>
      <c r="AY44" s="4">
        <v>42188.6</v>
      </c>
      <c r="AZ44" s="4"/>
      <c r="BA44" s="2">
        <v>3580700.62</v>
      </c>
      <c r="BB44" s="2">
        <v>1032522.9800000004</v>
      </c>
      <c r="BC44" s="2">
        <f t="shared" si="0"/>
        <v>336351.79182452243</v>
      </c>
      <c r="BD44" s="2">
        <v>367476.37</v>
      </c>
      <c r="BE44" s="2">
        <v>972805.76000000024</v>
      </c>
      <c r="BF44" s="62"/>
      <c r="BG44" s="63"/>
      <c r="BH44" s="63"/>
      <c r="BI44" s="63"/>
      <c r="BJ44" s="63"/>
      <c r="BK44" s="63"/>
    </row>
    <row r="45" spans="1:63">
      <c r="A45" s="58" t="s">
        <v>43</v>
      </c>
      <c r="B45" s="1">
        <v>6585.5</v>
      </c>
      <c r="C45" s="60">
        <v>217988.63685458832</v>
      </c>
      <c r="D45" s="3">
        <v>89701.38370231686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f>B45*P$66</f>
        <v>0</v>
      </c>
      <c r="Q45" s="1">
        <v>53232.244612312817</v>
      </c>
      <c r="R45" s="64"/>
      <c r="S45" s="3"/>
      <c r="T45" s="3"/>
      <c r="U45" s="3"/>
      <c r="V45" s="3">
        <v>219.4</v>
      </c>
      <c r="W45" s="3">
        <v>39492</v>
      </c>
      <c r="X45" s="3"/>
      <c r="Y45" s="3"/>
      <c r="Z45" s="3"/>
      <c r="AA45" s="3"/>
      <c r="AB45" s="3"/>
      <c r="AC45" s="3"/>
      <c r="AD45" s="3"/>
      <c r="AE45" s="3"/>
      <c r="AF45" s="1">
        <v>215036.98</v>
      </c>
      <c r="AG45" s="1">
        <v>119141.34</v>
      </c>
      <c r="AH45" s="1">
        <v>199328.02000000002</v>
      </c>
      <c r="AI45" s="1">
        <f>113</f>
        <v>113</v>
      </c>
      <c r="AJ45" s="1">
        <f>B45*AJ$65</f>
        <v>0</v>
      </c>
      <c r="AK45" s="1">
        <v>46473.602895107331</v>
      </c>
      <c r="AL45" s="1"/>
      <c r="AM45" s="60">
        <v>3532.0134547305147</v>
      </c>
      <c r="AN45" s="1">
        <v>2442.6555034255944</v>
      </c>
      <c r="AO45" s="1">
        <v>484232.04</v>
      </c>
      <c r="AP45" s="61"/>
      <c r="AQ45" s="61"/>
      <c r="AR45" s="61">
        <v>49945.93</v>
      </c>
      <c r="AS45" s="61">
        <v>106656.93</v>
      </c>
      <c r="AT45" s="1">
        <v>27984.366685797493</v>
      </c>
      <c r="AU45" s="1">
        <v>201565.50975258695</v>
      </c>
      <c r="AV45" s="1"/>
      <c r="AW45" s="1">
        <v>1856753.6534608658</v>
      </c>
      <c r="AX45" s="2">
        <v>1868267.7200000002</v>
      </c>
      <c r="AY45" s="4">
        <v>735.95999999999185</v>
      </c>
      <c r="AZ45" s="4"/>
      <c r="BA45" s="2">
        <v>1759114.2</v>
      </c>
      <c r="BB45" s="2">
        <v>294975.24000000046</v>
      </c>
      <c r="BC45" s="2">
        <f t="shared" si="0"/>
        <v>-95117.033460865961</v>
      </c>
      <c r="BD45" s="2">
        <v>2522.42</v>
      </c>
      <c r="BE45" s="2">
        <v>185821.7200000002</v>
      </c>
      <c r="BF45" s="62"/>
      <c r="BG45" s="63"/>
      <c r="BH45" s="63"/>
      <c r="BI45" s="63"/>
      <c r="BJ45" s="63"/>
      <c r="BK45" s="63"/>
    </row>
    <row r="46" spans="1:63">
      <c r="A46" s="58" t="s">
        <v>44</v>
      </c>
      <c r="B46" s="1">
        <v>3115</v>
      </c>
      <c r="C46" s="60">
        <v>94509.562213467856</v>
      </c>
      <c r="D46" s="3">
        <v>42429.551322256018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>B46*P$66</f>
        <v>0</v>
      </c>
      <c r="Q46" s="1">
        <v>24826.574719816934</v>
      </c>
      <c r="R46" s="64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1">
        <v>107272.31</v>
      </c>
      <c r="AG46" s="1">
        <v>60292.68</v>
      </c>
      <c r="AH46" s="1"/>
      <c r="AI46" s="1">
        <f>350</f>
        <v>350</v>
      </c>
      <c r="AJ46" s="1">
        <f>B46*AJ$65</f>
        <v>0</v>
      </c>
      <c r="AK46" s="1">
        <v>22278.976997685728</v>
      </c>
      <c r="AL46" s="1">
        <f>3384</f>
        <v>3384</v>
      </c>
      <c r="AM46" s="60">
        <v>1670.6737395012608</v>
      </c>
      <c r="AN46" s="1">
        <v>1155.3977516013554</v>
      </c>
      <c r="AO46" s="1"/>
      <c r="AP46" s="61"/>
      <c r="AQ46" s="61"/>
      <c r="AR46" s="61">
        <v>13825.81</v>
      </c>
      <c r="AS46" s="61"/>
      <c r="AT46" s="1">
        <v>13236.854031775749</v>
      </c>
      <c r="AU46" s="1">
        <v>95342.276650111351</v>
      </c>
      <c r="AV46" s="1"/>
      <c r="AW46" s="1">
        <v>480224.66742621624</v>
      </c>
      <c r="AX46" s="2">
        <v>514884.43</v>
      </c>
      <c r="AY46" s="4">
        <v>1812.51</v>
      </c>
      <c r="AZ46" s="4"/>
      <c r="BA46" s="2">
        <v>510420.92</v>
      </c>
      <c r="BB46" s="2">
        <v>72711.009999999951</v>
      </c>
      <c r="BC46" s="2">
        <f t="shared" si="0"/>
        <v>116232.11257378379</v>
      </c>
      <c r="BD46" s="2">
        <v>86035.86</v>
      </c>
      <c r="BE46" s="2">
        <v>68247.499999999942</v>
      </c>
      <c r="BF46" s="62"/>
      <c r="BG46" s="63"/>
      <c r="BH46" s="63"/>
      <c r="BI46" s="63"/>
      <c r="BJ46" s="63"/>
      <c r="BK46" s="63"/>
    </row>
    <row r="47" spans="1:63">
      <c r="A47" s="58" t="s">
        <v>45</v>
      </c>
      <c r="B47" s="1">
        <v>6192.5</v>
      </c>
      <c r="C47" s="60">
        <v>305927.82699258416</v>
      </c>
      <c r="D47" s="3">
        <v>84348.313503393394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f>B47*P$66</f>
        <v>0</v>
      </c>
      <c r="Q47" s="1">
        <v>346244.96264926688</v>
      </c>
      <c r="R47" s="6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>
        <v>2</v>
      </c>
      <c r="AD47" s="3">
        <v>20500</v>
      </c>
      <c r="AE47" s="3"/>
      <c r="AF47" s="1">
        <v>174000.24</v>
      </c>
      <c r="AG47" s="2">
        <v>77013.83</v>
      </c>
      <c r="AH47" s="1">
        <v>130395.64</v>
      </c>
      <c r="AI47" s="1">
        <f>32000</f>
        <v>32000</v>
      </c>
      <c r="AJ47" s="1">
        <f>B47*AJ$65</f>
        <v>0</v>
      </c>
      <c r="AK47" s="1">
        <v>75593.9614953993</v>
      </c>
      <c r="AL47" s="1"/>
      <c r="AM47" s="60">
        <v>3321.2350343054759</v>
      </c>
      <c r="AN47" s="1">
        <v>2296.8862204787779</v>
      </c>
      <c r="AO47" s="1">
        <v>318334.06</v>
      </c>
      <c r="AP47" s="61">
        <v>17336.34</v>
      </c>
      <c r="AQ47" s="65">
        <f>1045582.04</f>
        <v>1045582.04</v>
      </c>
      <c r="AR47" s="61">
        <v>88473.97</v>
      </c>
      <c r="AS47" s="61"/>
      <c r="AT47" s="1">
        <v>26314.355888209091</v>
      </c>
      <c r="AU47" s="1">
        <v>189536.77308372859</v>
      </c>
      <c r="AV47" s="1"/>
      <c r="AW47" s="1">
        <v>2905220.4348673658</v>
      </c>
      <c r="AX47" s="2">
        <v>2253895.25</v>
      </c>
      <c r="AY47" s="4">
        <v>50387.729999999996</v>
      </c>
      <c r="AZ47" s="4"/>
      <c r="BA47" s="2">
        <v>1803407.9</v>
      </c>
      <c r="BB47" s="2">
        <v>1352465.89</v>
      </c>
      <c r="BC47" s="2">
        <f t="shared" si="0"/>
        <v>-1006082.6248673659</v>
      </c>
      <c r="BD47" s="2">
        <v>95729.91</v>
      </c>
      <c r="BE47" s="2">
        <v>921952.68000000063</v>
      </c>
      <c r="BF47" s="62"/>
      <c r="BG47" s="63"/>
      <c r="BH47" s="63"/>
      <c r="BI47" s="63"/>
      <c r="BJ47" s="63"/>
      <c r="BK47" s="63"/>
    </row>
    <row r="48" spans="1:63">
      <c r="A48" s="58" t="s">
        <v>46</v>
      </c>
      <c r="B48" s="1">
        <v>14650.7</v>
      </c>
      <c r="C48" s="60">
        <v>484223.72246544261</v>
      </c>
      <c r="D48" s="3">
        <v>199557.82586098756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>
        <f>B48*P$66</f>
        <v>0</v>
      </c>
      <c r="Q48" s="1">
        <v>212976.01615011942</v>
      </c>
      <c r="R48" s="64">
        <v>2015</v>
      </c>
      <c r="S48" s="3">
        <f>710444.85</f>
        <v>710444.85</v>
      </c>
      <c r="T48" s="3"/>
      <c r="U48" s="3"/>
      <c r="V48" s="3">
        <v>200.6</v>
      </c>
      <c r="W48" s="3">
        <v>37528</v>
      </c>
      <c r="X48" s="3"/>
      <c r="Y48" s="3"/>
      <c r="Z48" s="3"/>
      <c r="AA48" s="3"/>
      <c r="AB48" s="3"/>
      <c r="AC48" s="3">
        <v>1</v>
      </c>
      <c r="AD48" s="3">
        <v>10250</v>
      </c>
      <c r="AE48" s="3"/>
      <c r="AF48" s="1">
        <v>387433.23</v>
      </c>
      <c r="AG48" s="1">
        <v>290458.02</v>
      </c>
      <c r="AH48" s="1">
        <v>233216.27</v>
      </c>
      <c r="AI48" s="1">
        <f>50931</f>
        <v>50931</v>
      </c>
      <c r="AJ48" s="1">
        <f>B48*AJ$65</f>
        <v>0</v>
      </c>
      <c r="AK48" s="1">
        <v>154068.99784911535</v>
      </c>
      <c r="AL48" s="1">
        <v>39911</v>
      </c>
      <c r="AM48" s="60">
        <v>7857.6371606135226</v>
      </c>
      <c r="AN48" s="1">
        <v>11246.852757427281</v>
      </c>
      <c r="AO48" s="1"/>
      <c r="AP48" s="61"/>
      <c r="AQ48" s="61"/>
      <c r="AR48" s="61">
        <v>47992.600000000006</v>
      </c>
      <c r="AS48" s="61">
        <v>220593.94</v>
      </c>
      <c r="AT48" s="1">
        <v>62256.557741039156</v>
      </c>
      <c r="AU48" s="1">
        <v>448420.89647440979</v>
      </c>
      <c r="AV48" s="1"/>
      <c r="AW48" s="1">
        <v>3558436.4164591543</v>
      </c>
      <c r="AX48" s="2">
        <v>2741658.36</v>
      </c>
      <c r="AY48" s="4">
        <v>18112.77</v>
      </c>
      <c r="AZ48" s="4"/>
      <c r="BA48" s="2">
        <v>2585071.81</v>
      </c>
      <c r="BB48" s="2">
        <v>451632.35000000009</v>
      </c>
      <c r="BC48" s="2">
        <f t="shared" si="0"/>
        <v>-973004.68645915436</v>
      </c>
      <c r="BD48" s="2">
        <v>359.92</v>
      </c>
      <c r="BE48" s="2">
        <v>295045.80000000028</v>
      </c>
      <c r="BF48" s="62"/>
      <c r="BG48" s="63"/>
      <c r="BH48" s="63"/>
      <c r="BI48" s="63"/>
      <c r="BJ48" s="63"/>
      <c r="BK48" s="63"/>
    </row>
    <row r="49" spans="1:63">
      <c r="A49" s="58" t="s">
        <v>48</v>
      </c>
      <c r="B49" s="1">
        <v>4650.8999999999996</v>
      </c>
      <c r="C49" s="60">
        <v>189542.2537180153</v>
      </c>
      <c r="D49" s="3">
        <v>63350.112438099684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f>B49*P$66</f>
        <v>0</v>
      </c>
      <c r="Q49" s="1">
        <v>55445.549208474018</v>
      </c>
      <c r="R49" s="64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1">
        <v>112111.20000000001</v>
      </c>
      <c r="AG49" s="1">
        <v>90168.78</v>
      </c>
      <c r="AH49" s="1">
        <v>64637.34</v>
      </c>
      <c r="AI49" s="1">
        <f>1950</f>
        <v>1950</v>
      </c>
      <c r="AJ49" s="1">
        <f>B49*AJ$65</f>
        <v>0</v>
      </c>
      <c r="AK49" s="1">
        <v>34691.405816544633</v>
      </c>
      <c r="AL49" s="1"/>
      <c r="AM49" s="60">
        <v>2494.4258411063925</v>
      </c>
      <c r="AN49" s="1">
        <v>1725.0848805530477</v>
      </c>
      <c r="AO49" s="1"/>
      <c r="AP49" s="61"/>
      <c r="AQ49" s="61"/>
      <c r="AR49" s="61">
        <v>20323.079999999998</v>
      </c>
      <c r="AS49" s="61">
        <v>99902.5</v>
      </c>
      <c r="AT49" s="1">
        <v>19763.494194666397</v>
      </c>
      <c r="AU49" s="1">
        <v>142352.2935704664</v>
      </c>
      <c r="AV49" s="1"/>
      <c r="AW49" s="1">
        <v>896507.51966792566</v>
      </c>
      <c r="AX49" s="2">
        <v>840966.89</v>
      </c>
      <c r="AY49" s="4">
        <v>12244.81</v>
      </c>
      <c r="AZ49" s="4"/>
      <c r="BA49" s="2">
        <v>810237.07</v>
      </c>
      <c r="BB49" s="2">
        <v>167577.16999999993</v>
      </c>
      <c r="BC49" s="2">
        <f t="shared" si="0"/>
        <v>-83466.399667925667</v>
      </c>
      <c r="BD49" s="2">
        <v>2804.05</v>
      </c>
      <c r="BE49" s="2">
        <v>136847.34999999986</v>
      </c>
      <c r="BF49" s="62"/>
      <c r="BG49" s="63"/>
      <c r="BH49" s="63"/>
      <c r="BI49" s="63"/>
      <c r="BJ49" s="63"/>
      <c r="BK49" s="63"/>
    </row>
    <row r="50" spans="1:63">
      <c r="A50" s="58" t="s">
        <v>47</v>
      </c>
      <c r="B50" s="1">
        <v>2175</v>
      </c>
      <c r="C50" s="60">
        <v>59174.05119238927</v>
      </c>
      <c r="D50" s="3">
        <v>29625.770184881811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>
        <f>B50*P$66</f>
        <v>0</v>
      </c>
      <c r="Q50" s="1">
        <v>17567.413841284699</v>
      </c>
      <c r="R50" s="64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1">
        <v>101950.34</v>
      </c>
      <c r="AG50" s="1">
        <v>39163.620000000003</v>
      </c>
      <c r="AH50" s="1">
        <v>37712.69</v>
      </c>
      <c r="AI50" s="1"/>
      <c r="AJ50" s="1">
        <f>B50*AJ$65</f>
        <v>0</v>
      </c>
      <c r="AK50" s="1">
        <v>15311.564998384094</v>
      </c>
      <c r="AL50" s="1"/>
      <c r="AM50" s="60">
        <v>1166.5217924286492</v>
      </c>
      <c r="AN50" s="1">
        <v>806.73839798810536</v>
      </c>
      <c r="AO50" s="1">
        <v>158693.76000000001</v>
      </c>
      <c r="AP50" s="61"/>
      <c r="AQ50" s="61"/>
      <c r="AR50" s="61">
        <v>16927.099999999999</v>
      </c>
      <c r="AS50" s="61">
        <v>28954.02</v>
      </c>
      <c r="AT50" s="1">
        <v>9242.426169859471</v>
      </c>
      <c r="AU50" s="1">
        <v>66571.252556658816</v>
      </c>
      <c r="AV50" s="1"/>
      <c r="AW50" s="1">
        <v>582867.26913387491</v>
      </c>
      <c r="AX50" s="2">
        <v>569984.15</v>
      </c>
      <c r="AY50" s="4">
        <v>36.65</v>
      </c>
      <c r="AZ50" s="4"/>
      <c r="BA50" s="2">
        <v>540472.46</v>
      </c>
      <c r="BB50" s="2">
        <v>92616.820000000065</v>
      </c>
      <c r="BC50" s="2">
        <f t="shared" si="0"/>
        <v>15263.710866125068</v>
      </c>
      <c r="BD50" s="2">
        <v>57658.52</v>
      </c>
      <c r="BE50" s="2">
        <v>63105.130000000005</v>
      </c>
      <c r="BF50" s="62"/>
      <c r="BG50" s="63"/>
      <c r="BH50" s="63"/>
      <c r="BI50" s="63"/>
      <c r="BJ50" s="63"/>
      <c r="BK50" s="63"/>
    </row>
    <row r="51" spans="1:63">
      <c r="A51" s="58" t="s">
        <v>49</v>
      </c>
      <c r="B51" s="1">
        <v>4574.8</v>
      </c>
      <c r="C51" s="60">
        <v>162231.08657790459</v>
      </c>
      <c r="D51" s="3">
        <v>62313.551007722905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f>B51*P$66</f>
        <v>0</v>
      </c>
      <c r="Q51" s="1">
        <v>43769.387935222636</v>
      </c>
      <c r="R51" s="64"/>
      <c r="S51" s="3"/>
      <c r="T51" s="3"/>
      <c r="U51" s="3"/>
      <c r="V51" s="3">
        <v>239.5</v>
      </c>
      <c r="W51" s="3">
        <v>43110</v>
      </c>
      <c r="X51" s="3"/>
      <c r="Y51" s="3"/>
      <c r="Z51" s="3"/>
      <c r="AA51" s="3"/>
      <c r="AB51" s="3"/>
      <c r="AC51" s="3"/>
      <c r="AD51" s="3"/>
      <c r="AE51" s="3"/>
      <c r="AF51" s="1">
        <v>101210.15</v>
      </c>
      <c r="AG51" s="1">
        <v>88473.54</v>
      </c>
      <c r="AH51" s="1"/>
      <c r="AI51" s="1"/>
      <c r="AJ51" s="1">
        <f>B51*AJ$65</f>
        <v>0</v>
      </c>
      <c r="AK51" s="1">
        <v>32205.677036601177</v>
      </c>
      <c r="AL51" s="1">
        <f>106711</f>
        <v>106711</v>
      </c>
      <c r="AM51" s="60">
        <v>2453.6109866678548</v>
      </c>
      <c r="AN51" s="1">
        <v>1696.8583094786136</v>
      </c>
      <c r="AO51" s="1"/>
      <c r="AP51" s="61"/>
      <c r="AQ51" s="61"/>
      <c r="AR51" s="61">
        <v>20326.18</v>
      </c>
      <c r="AS51" s="61">
        <v>46207.53</v>
      </c>
      <c r="AT51" s="1">
        <v>19440.115513504879</v>
      </c>
      <c r="AU51" s="1">
        <v>140023.06491779437</v>
      </c>
      <c r="AV51" s="1"/>
      <c r="AW51" s="1">
        <v>870171.75228489703</v>
      </c>
      <c r="AX51" s="2">
        <v>760342.66999999993</v>
      </c>
      <c r="AY51" s="4">
        <v>251.54</v>
      </c>
      <c r="AZ51" s="4"/>
      <c r="BA51" s="2">
        <v>741963.79</v>
      </c>
      <c r="BB51" s="2">
        <v>189627.49</v>
      </c>
      <c r="BC51" s="2">
        <f t="shared" si="0"/>
        <v>-76239.102284897002</v>
      </c>
      <c r="BD51" s="2">
        <v>51968.86</v>
      </c>
      <c r="BE51" s="2">
        <v>171248.6100000001</v>
      </c>
      <c r="BF51" s="62"/>
      <c r="BG51" s="63"/>
      <c r="BH51" s="63"/>
      <c r="BI51" s="63"/>
      <c r="BJ51" s="63"/>
      <c r="BK51" s="63"/>
    </row>
    <row r="52" spans="1:63">
      <c r="A52" s="58" t="s">
        <v>50</v>
      </c>
      <c r="B52" s="1">
        <v>1532.6</v>
      </c>
      <c r="C52" s="60">
        <v>57306.18469032451</v>
      </c>
      <c r="D52" s="3">
        <v>20875.611671425224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>
        <f>B52*P$66</f>
        <v>0</v>
      </c>
      <c r="Q52" s="1">
        <v>46526.811411104798</v>
      </c>
      <c r="R52" s="64">
        <v>537</v>
      </c>
      <c r="S52" s="3">
        <v>141225.82999999999</v>
      </c>
      <c r="T52" s="3"/>
      <c r="U52" s="3"/>
      <c r="V52" s="3"/>
      <c r="W52" s="3"/>
      <c r="X52" s="3"/>
      <c r="Y52" s="3"/>
      <c r="Z52" s="3"/>
      <c r="AA52" s="3"/>
      <c r="AB52" s="3"/>
      <c r="AC52" s="3">
        <v>1</v>
      </c>
      <c r="AD52" s="3">
        <v>10250</v>
      </c>
      <c r="AE52" s="3"/>
      <c r="AF52" s="1">
        <v>86376.849999999991</v>
      </c>
      <c r="AG52" s="1">
        <v>29298.84</v>
      </c>
      <c r="AH52" s="1">
        <v>25208.54</v>
      </c>
      <c r="AI52" s="1"/>
      <c r="AJ52" s="1">
        <f>B52*AJ$65</f>
        <v>0</v>
      </c>
      <c r="AK52" s="1">
        <v>10789.197478861362</v>
      </c>
      <c r="AL52" s="1"/>
      <c r="AM52" s="60">
        <v>821.98220647179198</v>
      </c>
      <c r="AN52" s="1">
        <v>6525.463112071986</v>
      </c>
      <c r="AO52" s="1"/>
      <c r="AP52" s="61"/>
      <c r="AQ52" s="61"/>
      <c r="AR52" s="61">
        <v>8046.2199999999993</v>
      </c>
      <c r="AS52" s="61">
        <v>41006.379999999997</v>
      </c>
      <c r="AT52" s="1">
        <v>6512.6171714605171</v>
      </c>
      <c r="AU52" s="1">
        <v>46909.012261303578</v>
      </c>
      <c r="AV52" s="1"/>
      <c r="AW52" s="1">
        <v>537679.54000302369</v>
      </c>
      <c r="AX52" s="2">
        <v>281008.86</v>
      </c>
      <c r="AY52" s="4">
        <v>111.3</v>
      </c>
      <c r="AZ52" s="4"/>
      <c r="BA52" s="2">
        <v>275343.96000000002</v>
      </c>
      <c r="BB52" s="2">
        <v>37825.820000000007</v>
      </c>
      <c r="BC52" s="2">
        <f t="shared" si="0"/>
        <v>-231878.50000302366</v>
      </c>
      <c r="BD52" s="2">
        <v>30457.08</v>
      </c>
      <c r="BE52" s="2">
        <v>32160.920000000013</v>
      </c>
      <c r="BF52" s="62"/>
      <c r="BG52" s="63"/>
      <c r="BH52" s="63"/>
      <c r="BI52" s="63"/>
      <c r="BJ52" s="63"/>
      <c r="BK52" s="63"/>
    </row>
    <row r="53" spans="1:63">
      <c r="A53" s="58" t="s">
        <v>92</v>
      </c>
      <c r="B53" s="1">
        <v>3770.2</v>
      </c>
      <c r="C53" s="60">
        <v>86173.145146457944</v>
      </c>
      <c r="D53" s="3">
        <v>51354.059195881106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>
        <f>B53*P$66</f>
        <v>0</v>
      </c>
      <c r="Q53" s="1">
        <v>32623.388481108766</v>
      </c>
      <c r="R53" s="64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1">
        <v>236359.9</v>
      </c>
      <c r="AG53" s="1">
        <v>72280.259999999995</v>
      </c>
      <c r="AH53" s="1">
        <v>62189.65</v>
      </c>
      <c r="AI53" s="1">
        <f>2200</f>
        <v>2200</v>
      </c>
      <c r="AJ53" s="1">
        <f>B53*AJ$65</f>
        <v>0</v>
      </c>
      <c r="AK53" s="1">
        <v>28741.453957198944</v>
      </c>
      <c r="AL53" s="1"/>
      <c r="AM53" s="60">
        <v>2022.0783732480427</v>
      </c>
      <c r="AN53" s="1">
        <v>1398.4207393539102</v>
      </c>
      <c r="AO53" s="1"/>
      <c r="AP53" s="1"/>
      <c r="AQ53" s="66">
        <f>242788.67</f>
        <v>242788.67</v>
      </c>
      <c r="AR53" s="61"/>
      <c r="AS53" s="61">
        <v>99839.58</v>
      </c>
      <c r="AT53" s="1">
        <v>16021.055239358242</v>
      </c>
      <c r="AU53" s="1">
        <v>115396.29259269657</v>
      </c>
      <c r="AV53" s="1"/>
      <c r="AW53" s="1">
        <v>1047187.9537253034</v>
      </c>
      <c r="AX53" s="2">
        <v>956350.6100000001</v>
      </c>
      <c r="AY53" s="4">
        <v>29659.78</v>
      </c>
      <c r="AZ53" s="4"/>
      <c r="BA53" s="2">
        <v>889673.66</v>
      </c>
      <c r="BB53" s="2">
        <v>96113.96</v>
      </c>
      <c r="BC53" s="2">
        <f t="shared" si="0"/>
        <v>-98416.703725303407</v>
      </c>
      <c r="BD53" s="2">
        <v>59097.59</v>
      </c>
      <c r="BE53" s="2">
        <v>38141.64</v>
      </c>
      <c r="BF53" s="62"/>
      <c r="BG53" s="63"/>
      <c r="BH53" s="63"/>
      <c r="BI53" s="63"/>
      <c r="BJ53" s="63"/>
      <c r="BK53" s="63"/>
    </row>
    <row r="54" spans="1:63">
      <c r="A54" s="58" t="s">
        <v>51</v>
      </c>
      <c r="B54" s="1">
        <v>5335</v>
      </c>
      <c r="C54" s="60">
        <v>123684.31632707898</v>
      </c>
      <c r="D54" s="3">
        <v>72668.268476480211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>
        <f>B54*P$66</f>
        <v>0</v>
      </c>
      <c r="Q54" s="1">
        <v>45022.078709542009</v>
      </c>
      <c r="R54" s="64"/>
      <c r="S54" s="3"/>
      <c r="T54" s="3"/>
      <c r="U54" s="3"/>
      <c r="V54" s="3"/>
      <c r="W54" s="3"/>
      <c r="X54" s="3"/>
      <c r="Y54" s="3"/>
      <c r="Z54" s="3"/>
      <c r="AA54" s="3"/>
      <c r="AB54" s="3"/>
      <c r="AC54" s="3">
        <v>1</v>
      </c>
      <c r="AD54" s="3">
        <v>10250</v>
      </c>
      <c r="AE54" s="3"/>
      <c r="AF54" s="1">
        <v>92500.23000000001</v>
      </c>
      <c r="AG54" s="2">
        <v>77349.66</v>
      </c>
      <c r="AH54" s="1">
        <v>130884.38</v>
      </c>
      <c r="AI54" s="1">
        <f>695+39000</f>
        <v>39695</v>
      </c>
      <c r="AJ54" s="1">
        <f>B54*AJ$65</f>
        <v>0</v>
      </c>
      <c r="AK54" s="1">
        <v>77252.332996036392</v>
      </c>
      <c r="AL54" s="1"/>
      <c r="AM54" s="60">
        <v>2861.3304655663646</v>
      </c>
      <c r="AN54" s="1">
        <v>7865.8272888581805</v>
      </c>
      <c r="AO54" s="1">
        <v>337735.8</v>
      </c>
      <c r="AP54" s="61"/>
      <c r="AQ54" s="61"/>
      <c r="AR54" s="61">
        <v>31704.600000000002</v>
      </c>
      <c r="AS54" s="61">
        <v>94911.06</v>
      </c>
      <c r="AT54" s="1">
        <v>22670.502812046107</v>
      </c>
      <c r="AU54" s="1">
        <v>163290.86546656312</v>
      </c>
      <c r="AV54" s="1"/>
      <c r="AW54" s="1">
        <v>1290651.2525421714</v>
      </c>
      <c r="AX54" s="2">
        <v>1314527.2</v>
      </c>
      <c r="AY54" s="4">
        <v>4954.07</v>
      </c>
      <c r="AZ54" s="4"/>
      <c r="BA54" s="2">
        <v>1289626.3900000001</v>
      </c>
      <c r="BB54" s="2">
        <v>41272.34999999986</v>
      </c>
      <c r="BC54" s="2">
        <f t="shared" si="0"/>
        <v>-6402.9925421711523</v>
      </c>
      <c r="BD54" s="2">
        <v>-5378.13</v>
      </c>
      <c r="BE54" s="2">
        <v>16371.540000000037</v>
      </c>
      <c r="BF54" s="62"/>
      <c r="BG54" s="63"/>
      <c r="BH54" s="63"/>
      <c r="BI54" s="63"/>
      <c r="BJ54" s="63"/>
      <c r="BK54" s="63"/>
    </row>
    <row r="55" spans="1:63">
      <c r="A55" s="58" t="s">
        <v>52</v>
      </c>
      <c r="B55" s="1">
        <v>7562.2</v>
      </c>
      <c r="C55" s="60">
        <v>189918.3953080856</v>
      </c>
      <c r="D55" s="3">
        <v>103005.05714579919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>
        <f>B55*P$66</f>
        <v>0</v>
      </c>
      <c r="Q55" s="1">
        <v>58088.800323017538</v>
      </c>
      <c r="R55" s="64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1">
        <v>231704.62999999998</v>
      </c>
      <c r="AG55" s="1">
        <v>145988.22</v>
      </c>
      <c r="AH55" s="1">
        <v>125653.14</v>
      </c>
      <c r="AI55" s="1">
        <f>1576</f>
        <v>1576</v>
      </c>
      <c r="AJ55" s="1">
        <f>B55*AJ$65</f>
        <v>0</v>
      </c>
      <c r="AK55" s="1">
        <v>54812.375554381695</v>
      </c>
      <c r="AL55" s="1"/>
      <c r="AM55" s="60">
        <v>4055.8487810133015</v>
      </c>
      <c r="AN55" s="1">
        <v>2804.9274083979999</v>
      </c>
      <c r="AO55" s="1"/>
      <c r="AP55" s="61"/>
      <c r="AQ55" s="61"/>
      <c r="AR55" s="61">
        <v>36278.719999999994</v>
      </c>
      <c r="AS55" s="61">
        <v>82921.759999999995</v>
      </c>
      <c r="AT55" s="1">
        <v>32134.747209982204</v>
      </c>
      <c r="AU55" s="1">
        <v>231459.82808458174</v>
      </c>
      <c r="AV55" s="1"/>
      <c r="AW55" s="1">
        <v>1298826.4498152591</v>
      </c>
      <c r="AX55" s="2">
        <v>1401788.3099999998</v>
      </c>
      <c r="AY55" s="4">
        <v>2084</v>
      </c>
      <c r="AZ55" s="4"/>
      <c r="BA55" s="2">
        <v>1350373.34</v>
      </c>
      <c r="BB55" s="2">
        <v>150736.06999999983</v>
      </c>
      <c r="BC55" s="2">
        <f t="shared" si="0"/>
        <v>146819.62018474098</v>
      </c>
      <c r="BD55" s="2">
        <v>95272.73</v>
      </c>
      <c r="BE55" s="2">
        <v>99321.100000000093</v>
      </c>
      <c r="BF55" s="62"/>
      <c r="BG55" s="63"/>
      <c r="BH55" s="63"/>
      <c r="BI55" s="63"/>
      <c r="BJ55" s="63"/>
      <c r="BK55" s="63"/>
    </row>
    <row r="56" spans="1:63">
      <c r="A56" s="58" t="s">
        <v>53</v>
      </c>
      <c r="B56" s="1">
        <v>5830.3</v>
      </c>
      <c r="C56" s="60">
        <v>332137.69907999411</v>
      </c>
      <c r="D56" s="3">
        <v>79414.771452375368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>
        <f>B56*P$66</f>
        <v>0</v>
      </c>
      <c r="Q56" s="1">
        <v>185564.62607670907</v>
      </c>
      <c r="R56" s="64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1">
        <v>135051.76</v>
      </c>
      <c r="AG56" s="1">
        <v>109969.32</v>
      </c>
      <c r="AH56" s="1">
        <v>100053.2</v>
      </c>
      <c r="AI56" s="1"/>
      <c r="AJ56" s="1">
        <f>B56*AJ$65</f>
        <v>0</v>
      </c>
      <c r="AK56" s="1">
        <v>41044.145935668406</v>
      </c>
      <c r="AL56" s="1"/>
      <c r="AM56" s="60">
        <v>3126.9756351249443</v>
      </c>
      <c r="AN56" s="1">
        <v>2162.5410950758856</v>
      </c>
      <c r="AO56" s="1"/>
      <c r="AP56" s="61"/>
      <c r="AQ56" s="61"/>
      <c r="AR56" s="61">
        <v>34465.870000000003</v>
      </c>
      <c r="AS56" s="61">
        <v>42335.89</v>
      </c>
      <c r="AT56" s="1">
        <v>24775.226343968588</v>
      </c>
      <c r="AU56" s="1">
        <v>178450.74656601742</v>
      </c>
      <c r="AV56" s="1"/>
      <c r="AW56" s="1">
        <v>1268552.7721849335</v>
      </c>
      <c r="AX56" s="2">
        <v>1058388.8600000001</v>
      </c>
      <c r="AY56" s="4">
        <v>0</v>
      </c>
      <c r="AZ56" s="4"/>
      <c r="BA56" s="2">
        <v>1045967.23</v>
      </c>
      <c r="BB56" s="2">
        <v>85220.280000000028</v>
      </c>
      <c r="BC56" s="2">
        <f t="shared" si="0"/>
        <v>-134363.57218493358</v>
      </c>
      <c r="BD56" s="2">
        <v>88221.97</v>
      </c>
      <c r="BE56" s="2">
        <v>72798.649999999907</v>
      </c>
      <c r="BF56" s="62"/>
      <c r="BG56" s="63"/>
      <c r="BH56" s="63"/>
      <c r="BI56" s="63"/>
      <c r="BJ56" s="63"/>
      <c r="BK56" s="63"/>
    </row>
    <row r="57" spans="1:63">
      <c r="A57" s="58" t="s">
        <v>54</v>
      </c>
      <c r="B57" s="1">
        <v>2880.4</v>
      </c>
      <c r="C57" s="60">
        <v>84730.207784164624</v>
      </c>
      <c r="D57" s="3">
        <v>39234.054455417732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f>B57*P$66</f>
        <v>0</v>
      </c>
      <c r="Q57" s="1">
        <v>25365.080479281125</v>
      </c>
      <c r="R57" s="64">
        <v>533</v>
      </c>
      <c r="S57" s="3">
        <v>240934.15</v>
      </c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1">
        <v>96450.13</v>
      </c>
      <c r="AG57" s="1">
        <v>54392.1</v>
      </c>
      <c r="AH57" s="1">
        <v>46798.52</v>
      </c>
      <c r="AI57" s="1">
        <f>1377</f>
        <v>1377</v>
      </c>
      <c r="AJ57" s="1">
        <f>B57*AJ$65</f>
        <v>0</v>
      </c>
      <c r="AK57" s="1">
        <v>21654.439917860022</v>
      </c>
      <c r="AL57" s="1"/>
      <c r="AM57" s="60">
        <v>1544.8502854765431</v>
      </c>
      <c r="AN57" s="1">
        <v>1068.3812788804316</v>
      </c>
      <c r="AO57" s="1"/>
      <c r="AP57" s="61"/>
      <c r="AQ57" s="61"/>
      <c r="AR57" s="61">
        <v>17214.920000000002</v>
      </c>
      <c r="AS57" s="61">
        <v>4988.6899999999996</v>
      </c>
      <c r="AT57" s="1">
        <v>12239.946822833665</v>
      </c>
      <c r="AU57" s="1">
        <v>88161.763615724165</v>
      </c>
      <c r="AV57" s="1"/>
      <c r="AW57" s="1">
        <v>734777.23463963834</v>
      </c>
      <c r="AX57" s="2">
        <v>523152.54000000004</v>
      </c>
      <c r="AY57" s="4">
        <v>173.71000000000583</v>
      </c>
      <c r="AZ57" s="4"/>
      <c r="BA57" s="2">
        <v>478228.32</v>
      </c>
      <c r="BB57" s="2">
        <v>141311.5400000001</v>
      </c>
      <c r="BC57" s="2">
        <f t="shared" si="0"/>
        <v>-397702.65463963832</v>
      </c>
      <c r="BD57" s="2">
        <v>-141153.74</v>
      </c>
      <c r="BE57" s="2">
        <v>96387.32</v>
      </c>
      <c r="BF57" s="62"/>
      <c r="BG57" s="63"/>
      <c r="BH57" s="63"/>
      <c r="BI57" s="63"/>
      <c r="BJ57" s="63"/>
      <c r="BK57" s="63"/>
    </row>
    <row r="58" spans="1:63">
      <c r="A58" s="58" t="s">
        <v>55</v>
      </c>
      <c r="B58" s="1">
        <v>9176.5</v>
      </c>
      <c r="C58" s="60">
        <v>1920208.914202051</v>
      </c>
      <c r="D58" s="3">
        <v>124993.50809267492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>
        <f>B58*P$66</f>
        <v>0</v>
      </c>
      <c r="Q58" s="1">
        <v>65728.726714735181</v>
      </c>
      <c r="R58" s="64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1">
        <v>259196.44</v>
      </c>
      <c r="AG58" s="1">
        <v>162443.88</v>
      </c>
      <c r="AH58" s="1">
        <v>270243.78000000003</v>
      </c>
      <c r="AI58" s="1">
        <f>1300</f>
        <v>1300</v>
      </c>
      <c r="AJ58" s="1">
        <f>B58*AJ$65</f>
        <v>0</v>
      </c>
      <c r="AK58" s="1">
        <v>65900.724693182361</v>
      </c>
      <c r="AL58" s="1"/>
      <c r="AM58" s="60">
        <v>4921.6493003317237</v>
      </c>
      <c r="AN58" s="1">
        <v>3403.6942110978612</v>
      </c>
      <c r="AO58" s="1">
        <v>671928.36</v>
      </c>
      <c r="AP58" s="61">
        <v>36562.980000000003</v>
      </c>
      <c r="AQ58" s="61"/>
      <c r="AR58" s="61">
        <v>185631.78</v>
      </c>
      <c r="AS58" s="61">
        <v>93222.57</v>
      </c>
      <c r="AT58" s="1">
        <v>38994.53965412204</v>
      </c>
      <c r="AU58" s="1">
        <v>280869.47084422049</v>
      </c>
      <c r="AV58" s="1"/>
      <c r="AW58" s="1">
        <v>4184251.0177124152</v>
      </c>
      <c r="AX58" s="2">
        <v>3908183.8199999994</v>
      </c>
      <c r="AY58" s="4">
        <v>8262.57</v>
      </c>
      <c r="AZ58" s="4">
        <v>799147.7</v>
      </c>
      <c r="BA58" s="2">
        <v>2479842.73</v>
      </c>
      <c r="BB58" s="2">
        <v>1758081.4100000006</v>
      </c>
      <c r="BC58" s="2">
        <f t="shared" si="0"/>
        <v>-1691759.7077124151</v>
      </c>
      <c r="BD58" s="2">
        <v>12648.58</v>
      </c>
      <c r="BE58" s="2">
        <v>329740.32000000076</v>
      </c>
      <c r="BF58" s="62"/>
      <c r="BG58" s="63"/>
      <c r="BH58" s="63"/>
      <c r="BI58" s="63"/>
      <c r="BJ58" s="63"/>
      <c r="BK58" s="63"/>
    </row>
    <row r="59" spans="1:63">
      <c r="A59" s="58" t="s">
        <v>56</v>
      </c>
      <c r="B59" s="1">
        <v>2437.1</v>
      </c>
      <c r="C59" s="60">
        <v>86989.662106883639</v>
      </c>
      <c r="D59" s="3">
        <v>33195.845755207105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>
        <f>B59*P$66</f>
        <v>0</v>
      </c>
      <c r="Q59" s="1">
        <v>19500.210394756294</v>
      </c>
      <c r="R59" s="64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1">
        <v>160059.98000000001</v>
      </c>
      <c r="AG59" s="1">
        <v>41378.519999999997</v>
      </c>
      <c r="AH59" s="1">
        <v>68046.14</v>
      </c>
      <c r="AI59" s="1"/>
      <c r="AJ59" s="1">
        <f>B59*AJ$65</f>
        <v>0</v>
      </c>
      <c r="AK59" s="1">
        <v>17156.696578189367</v>
      </c>
      <c r="AL59" s="1"/>
      <c r="AM59" s="60">
        <v>1307.0943725645336</v>
      </c>
      <c r="AN59" s="1">
        <v>903.95501137324663</v>
      </c>
      <c r="AO59" s="1">
        <v>178036.92</v>
      </c>
      <c r="AP59" s="61"/>
      <c r="AQ59" s="61"/>
      <c r="AR59" s="61">
        <v>21658.03</v>
      </c>
      <c r="AS59" s="61">
        <v>24869.69</v>
      </c>
      <c r="AT59" s="1">
        <v>10356.191640719318</v>
      </c>
      <c r="AU59" s="1">
        <v>74593.471083141689</v>
      </c>
      <c r="AV59" s="1"/>
      <c r="AW59" s="1">
        <v>738052.40694283508</v>
      </c>
      <c r="AX59" s="2">
        <v>696089.63</v>
      </c>
      <c r="AY59" s="4">
        <v>412.65</v>
      </c>
      <c r="AZ59" s="4"/>
      <c r="BA59" s="2">
        <v>691539.22</v>
      </c>
      <c r="BB59" s="2">
        <v>16928.530000000144</v>
      </c>
      <c r="BC59" s="2">
        <f t="shared" si="0"/>
        <v>-48468.706942835124</v>
      </c>
      <c r="BD59" s="2">
        <v>-1955.52</v>
      </c>
      <c r="BE59" s="2">
        <v>12378.120000000112</v>
      </c>
      <c r="BF59" s="62"/>
      <c r="BG59" s="63"/>
      <c r="BH59" s="63"/>
      <c r="BI59" s="63"/>
      <c r="BJ59" s="63"/>
      <c r="BK59" s="63"/>
    </row>
    <row r="60" spans="1:63">
      <c r="A60" s="58" t="s">
        <v>57</v>
      </c>
      <c r="B60" s="1">
        <v>2545.6999999999998</v>
      </c>
      <c r="C60" s="60">
        <v>85023.51655676568</v>
      </c>
      <c r="D60" s="3">
        <v>34675.091107886721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>
        <f>B60*P$66</f>
        <v>0</v>
      </c>
      <c r="Q60" s="1">
        <v>22569.536219659058</v>
      </c>
      <c r="R60" s="64"/>
      <c r="S60" s="3"/>
      <c r="T60" s="3"/>
      <c r="U60" s="3"/>
      <c r="V60" s="3">
        <v>164.4</v>
      </c>
      <c r="W60" s="3">
        <v>29592</v>
      </c>
      <c r="X60" s="3"/>
      <c r="Y60" s="3"/>
      <c r="Z60" s="3"/>
      <c r="AA60" s="3"/>
      <c r="AB60" s="3"/>
      <c r="AC60" s="3"/>
      <c r="AD60" s="3"/>
      <c r="AE60" s="3"/>
      <c r="AF60" s="1">
        <v>85409.52</v>
      </c>
      <c r="AG60" s="1">
        <v>43975.92</v>
      </c>
      <c r="AH60" s="1">
        <v>70546.67</v>
      </c>
      <c r="AI60" s="1"/>
      <c r="AJ60" s="1">
        <f>B60*AJ$65</f>
        <v>0</v>
      </c>
      <c r="AK60" s="1">
        <v>17921.218858108685</v>
      </c>
      <c r="AL60" s="1"/>
      <c r="AM60" s="60">
        <v>1365.3400124071779</v>
      </c>
      <c r="AN60" s="1">
        <v>944.23629414175616</v>
      </c>
      <c r="AO60" s="1">
        <v>179952</v>
      </c>
      <c r="AP60" s="61"/>
      <c r="AQ60" s="61"/>
      <c r="AR60" s="61">
        <v>21788.35</v>
      </c>
      <c r="AS60" s="61">
        <v>23196.73</v>
      </c>
      <c r="AT60" s="1">
        <v>10817.675540510922</v>
      </c>
      <c r="AU60" s="1">
        <v>77917.442590108651</v>
      </c>
      <c r="AV60" s="1"/>
      <c r="AW60" s="1">
        <v>705695.24717958854</v>
      </c>
      <c r="AX60" s="2">
        <v>682891.84</v>
      </c>
      <c r="AY60" s="4">
        <v>2296.92</v>
      </c>
      <c r="AZ60" s="4"/>
      <c r="BA60" s="2">
        <v>681710.34</v>
      </c>
      <c r="BB60" s="2">
        <v>59770.550000000047</v>
      </c>
      <c r="BC60" s="2">
        <f t="shared" si="0"/>
        <v>-385.66717958857771</v>
      </c>
      <c r="BD60" s="2">
        <v>23599.24</v>
      </c>
      <c r="BE60" s="2">
        <v>58589.050000000047</v>
      </c>
      <c r="BF60" s="62"/>
      <c r="BG60" s="63"/>
      <c r="BH60" s="63"/>
      <c r="BI60" s="63"/>
      <c r="BJ60" s="63"/>
      <c r="BK60" s="63"/>
    </row>
    <row r="61" spans="1:63">
      <c r="A61" s="58" t="s">
        <v>58</v>
      </c>
      <c r="B61" s="1">
        <v>2433.8000000000002</v>
      </c>
      <c r="C61" s="60">
        <v>80521.722192660702</v>
      </c>
      <c r="D61" s="3">
        <v>33150.896310788674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>
        <f>B61*P$66</f>
        <v>0</v>
      </c>
      <c r="Q61" s="1">
        <v>19501.007317203999</v>
      </c>
      <c r="R61" s="64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1">
        <v>130514.92</v>
      </c>
      <c r="AG61" s="1">
        <v>41692.44</v>
      </c>
      <c r="AH61" s="1">
        <v>68348.320000000007</v>
      </c>
      <c r="AI61" s="1"/>
      <c r="AJ61" s="1">
        <f>B61*AJ$65</f>
        <v>0</v>
      </c>
      <c r="AK61" s="1">
        <v>17133.46523819182</v>
      </c>
      <c r="AL61" s="1"/>
      <c r="AM61" s="60">
        <v>1305.3244774311938</v>
      </c>
      <c r="AN61" s="1">
        <v>902.73099449354061</v>
      </c>
      <c r="AO61" s="1">
        <v>179406</v>
      </c>
      <c r="AP61" s="61"/>
      <c r="AQ61" s="61"/>
      <c r="AR61" s="61">
        <v>24080.06</v>
      </c>
      <c r="AS61" s="61">
        <v>27768.89</v>
      </c>
      <c r="AT61" s="1">
        <v>10342.168649289188</v>
      </c>
      <c r="AU61" s="1">
        <v>74492.46642409022</v>
      </c>
      <c r="AV61" s="1"/>
      <c r="AW61" s="1">
        <v>709160.41160414938</v>
      </c>
      <c r="AX61" s="2">
        <v>682863.83999999985</v>
      </c>
      <c r="AY61" s="4">
        <v>1760.12</v>
      </c>
      <c r="AZ61" s="4"/>
      <c r="BA61" s="2">
        <v>644701.30000000005</v>
      </c>
      <c r="BB61" s="2">
        <v>69962.209999999846</v>
      </c>
      <c r="BC61" s="2">
        <f t="shared" si="0"/>
        <v>-55932.291604149388</v>
      </c>
      <c r="BD61" s="2">
        <v>8526.82</v>
      </c>
      <c r="BE61" s="2">
        <v>31799.670000000042</v>
      </c>
      <c r="BF61" s="62"/>
      <c r="BG61" s="63"/>
      <c r="BH61" s="63"/>
      <c r="BI61" s="63"/>
      <c r="BJ61" s="63"/>
      <c r="BK61" s="63"/>
    </row>
    <row r="62" spans="1:63">
      <c r="A62" s="58" t="s">
        <v>59</v>
      </c>
      <c r="B62" s="1">
        <v>6560.7</v>
      </c>
      <c r="C62" s="60">
        <v>181087.85219467044</v>
      </c>
      <c r="D62" s="3">
        <v>89363.581816990394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>
        <f>B62*P$66</f>
        <v>0</v>
      </c>
      <c r="Q62" s="1">
        <v>61367.523908283445</v>
      </c>
      <c r="R62" s="64"/>
      <c r="S62" s="3"/>
      <c r="T62" s="3"/>
      <c r="U62" s="3"/>
      <c r="V62" s="3">
        <v>89.1</v>
      </c>
      <c r="W62" s="3">
        <v>16038</v>
      </c>
      <c r="X62" s="3"/>
      <c r="Y62" s="67"/>
      <c r="Z62" s="3"/>
      <c r="AA62" s="3"/>
      <c r="AB62" s="3"/>
      <c r="AC62" s="3"/>
      <c r="AD62" s="3"/>
      <c r="AE62" s="3"/>
      <c r="AF62" s="1">
        <v>149336.78</v>
      </c>
      <c r="AG62" s="1">
        <v>119584.02</v>
      </c>
      <c r="AH62" s="1">
        <v>199693.06</v>
      </c>
      <c r="AI62" s="1">
        <f>23000</f>
        <v>23000</v>
      </c>
      <c r="AJ62" s="1">
        <f>B62*AJ$65</f>
        <v>0</v>
      </c>
      <c r="AK62" s="1">
        <v>69186.015855125763</v>
      </c>
      <c r="AL62" s="1"/>
      <c r="AM62" s="60">
        <v>3518.7124246375347</v>
      </c>
      <c r="AN62" s="1">
        <v>2433.4568311174999</v>
      </c>
      <c r="AO62" s="1">
        <v>486154.32</v>
      </c>
      <c r="AP62" s="61"/>
      <c r="AQ62" s="61"/>
      <c r="AR62" s="61">
        <v>47605.34</v>
      </c>
      <c r="AS62" s="61">
        <v>82750.61</v>
      </c>
      <c r="AT62" s="1">
        <v>27878.981780504382</v>
      </c>
      <c r="AU62" s="1">
        <v>200806.44443607883</v>
      </c>
      <c r="AV62" s="1"/>
      <c r="AW62" s="1">
        <v>1736804.6992474087</v>
      </c>
      <c r="AX62" s="2">
        <v>1834616.4900000002</v>
      </c>
      <c r="AY62" s="4">
        <v>19140.169999999998</v>
      </c>
      <c r="AZ62" s="4"/>
      <c r="BA62" s="2">
        <v>1823598.89</v>
      </c>
      <c r="BB62" s="2">
        <v>462520.31000000029</v>
      </c>
      <c r="BC62" s="2">
        <f t="shared" si="0"/>
        <v>285047.7607525913</v>
      </c>
      <c r="BD62" s="68">
        <v>198253.57</v>
      </c>
      <c r="BE62" s="2">
        <v>451502.7100000002</v>
      </c>
      <c r="BF62" s="62"/>
      <c r="BG62" s="63"/>
      <c r="BH62" s="63"/>
      <c r="BI62" s="63"/>
      <c r="BJ62" s="63"/>
      <c r="BK62" s="63"/>
    </row>
    <row r="63" spans="1:63" s="75" customFormat="1">
      <c r="A63" s="69" t="s">
        <v>62</v>
      </c>
      <c r="B63" s="3">
        <f>SUM(B3:B62)</f>
        <v>403798.50000000006</v>
      </c>
      <c r="C63" s="64">
        <v>14763862.959601231</v>
      </c>
      <c r="D63" s="3">
        <v>5500157.040000001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>
        <f t="shared" ref="P63:AQ63" si="1">SUM(P3:P62)</f>
        <v>0</v>
      </c>
      <c r="Q63" s="3">
        <v>4780775.1499999985</v>
      </c>
      <c r="R63" s="70">
        <f>SUM(R3:R62)</f>
        <v>6793</v>
      </c>
      <c r="S63" s="3">
        <f t="shared" si="1"/>
        <v>2829094.17</v>
      </c>
      <c r="T63" s="3">
        <f t="shared" si="1"/>
        <v>0</v>
      </c>
      <c r="U63" s="3">
        <f t="shared" si="1"/>
        <v>0</v>
      </c>
      <c r="V63" s="3">
        <f t="shared" si="1"/>
        <v>4758</v>
      </c>
      <c r="W63" s="3">
        <f t="shared" si="1"/>
        <v>860060</v>
      </c>
      <c r="X63" s="3">
        <f t="shared" si="1"/>
        <v>0</v>
      </c>
      <c r="Y63" s="3">
        <f t="shared" si="1"/>
        <v>0</v>
      </c>
      <c r="Z63" s="3">
        <f t="shared" si="1"/>
        <v>0</v>
      </c>
      <c r="AA63" s="3">
        <f t="shared" si="1"/>
        <v>0</v>
      </c>
      <c r="AB63" s="64">
        <f t="shared" si="1"/>
        <v>0</v>
      </c>
      <c r="AC63" s="64">
        <f t="shared" si="1"/>
        <v>8</v>
      </c>
      <c r="AD63" s="64">
        <f t="shared" si="1"/>
        <v>90450</v>
      </c>
      <c r="AE63" s="64">
        <f t="shared" si="1"/>
        <v>0</v>
      </c>
      <c r="AF63" s="3">
        <v>11087880.810000001</v>
      </c>
      <c r="AG63" s="3">
        <v>7367308.0899999999</v>
      </c>
      <c r="AH63" s="3">
        <v>7142304.4899999993</v>
      </c>
      <c r="AI63" s="3">
        <f t="shared" si="1"/>
        <v>463668</v>
      </c>
      <c r="AJ63" s="3">
        <f t="shared" si="1"/>
        <v>0</v>
      </c>
      <c r="AK63" s="64">
        <v>3308752.68</v>
      </c>
      <c r="AL63" s="64">
        <f t="shared" si="1"/>
        <v>150006</v>
      </c>
      <c r="AM63" s="64">
        <v>216570.00000000003</v>
      </c>
      <c r="AN63" s="64">
        <v>194356.97000000003</v>
      </c>
      <c r="AO63" s="64">
        <v>10152180.68</v>
      </c>
      <c r="AP63" s="64">
        <v>301069.76</v>
      </c>
      <c r="AQ63" s="71">
        <f t="shared" si="1"/>
        <v>1288370.71</v>
      </c>
      <c r="AR63" s="71">
        <v>3580077.3700000015</v>
      </c>
      <c r="AS63" s="72">
        <v>4687757.49</v>
      </c>
      <c r="AT63" s="3">
        <v>1715897.8500000006</v>
      </c>
      <c r="AU63" s="3">
        <v>12359251.459999995</v>
      </c>
      <c r="AV63" s="3"/>
      <c r="AW63" s="3">
        <v>92530695.170149997</v>
      </c>
      <c r="AX63" s="3">
        <v>87922057.560000032</v>
      </c>
      <c r="AY63" s="64"/>
      <c r="AZ63" s="64"/>
      <c r="BA63" s="3">
        <v>83401494.589999989</v>
      </c>
      <c r="BB63" s="3">
        <v>16304333.529999999</v>
      </c>
      <c r="BC63" s="3">
        <f>SUM(BC3:BC62)</f>
        <v>-4980997.8201499945</v>
      </c>
      <c r="BD63" s="64">
        <f>SUM(BD3:BD62)</f>
        <v>4148202.7600000002</v>
      </c>
      <c r="BE63" s="3">
        <v>11812449.330000008</v>
      </c>
      <c r="BF63" s="73"/>
      <c r="BG63" s="74"/>
      <c r="BI63" s="76"/>
    </row>
    <row r="64" spans="1:63">
      <c r="A64" s="77"/>
      <c r="B64" s="63"/>
      <c r="D64" s="76"/>
      <c r="X64" s="76"/>
      <c r="AG64" s="80"/>
      <c r="AJ64" s="81"/>
      <c r="AK64" s="81"/>
      <c r="AL64" s="81"/>
      <c r="AV64" s="79">
        <v>5803437.8300000001</v>
      </c>
      <c r="BI64" s="63"/>
      <c r="BJ64" s="63"/>
      <c r="BK64" s="63"/>
    </row>
    <row r="65" spans="1:56">
      <c r="A65" s="84"/>
      <c r="AF65" s="85"/>
      <c r="AG65" s="80"/>
      <c r="AI65" s="86"/>
      <c r="AJ65" s="86"/>
      <c r="AM65" s="86" t="e">
        <f>216570/B67</f>
        <v>#DIV/0!</v>
      </c>
      <c r="AN65" s="86" t="e">
        <f>(149774.6)/B67</f>
        <v>#DIV/0!</v>
      </c>
      <c r="AU65" s="82"/>
    </row>
    <row r="66" spans="1:56">
      <c r="D66" s="76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U66" s="82"/>
      <c r="AV66" s="82"/>
      <c r="BA66" s="87"/>
      <c r="BB66" s="87"/>
      <c r="BC66" s="87"/>
      <c r="BD66" s="87"/>
    </row>
    <row r="67" spans="1:56">
      <c r="C67" s="88"/>
      <c r="W67" s="76"/>
      <c r="AG67" s="80"/>
      <c r="AO67" s="86"/>
      <c r="AP67" s="86"/>
    </row>
    <row r="68" spans="1:56">
      <c r="B68" s="63"/>
      <c r="AH68" s="82"/>
      <c r="AI68" s="82"/>
      <c r="AJ68" s="82"/>
      <c r="AK68" s="82"/>
      <c r="AL68" s="82"/>
      <c r="AO68" s="82"/>
      <c r="AP68" s="82"/>
    </row>
    <row r="69" spans="1:56">
      <c r="B69" s="63"/>
      <c r="AF69" s="82"/>
      <c r="AH69" s="82"/>
      <c r="AI69" s="82"/>
      <c r="AJ69" s="82"/>
      <c r="AK69" s="82"/>
      <c r="AL69" s="82"/>
      <c r="AO69" s="82"/>
      <c r="AP69" s="82"/>
    </row>
    <row r="70" spans="1:56">
      <c r="B70" s="63"/>
      <c r="AQ70" s="82"/>
      <c r="AR70" s="82"/>
      <c r="AS70" s="82"/>
    </row>
    <row r="71" spans="1:56">
      <c r="D71" s="76"/>
    </row>
    <row r="72" spans="1:56">
      <c r="D72" s="76"/>
      <c r="X72" s="76" t="e">
        <f>#REF!+#REF!+#REF!+#REF!</f>
        <v>#REF!</v>
      </c>
    </row>
    <row r="73" spans="1:56">
      <c r="X73" s="76" t="e">
        <f>X72-769930</f>
        <v>#REF!</v>
      </c>
    </row>
    <row r="74" spans="1:56">
      <c r="AU74" s="39"/>
      <c r="AW74" s="89"/>
    </row>
    <row r="75" spans="1:56">
      <c r="AU75" s="39"/>
    </row>
    <row r="76" spans="1:56">
      <c r="AU76" s="39"/>
    </row>
    <row r="77" spans="1:56">
      <c r="AU77" s="39"/>
    </row>
    <row r="79" spans="1:56">
      <c r="AW79" s="85"/>
    </row>
    <row r="82" spans="49:49">
      <c r="AW82" s="90"/>
    </row>
  </sheetData>
  <mergeCells count="42">
    <mergeCell ref="BC1:BC2"/>
    <mergeCell ref="BD1:BD2"/>
    <mergeCell ref="BE1:BE2"/>
    <mergeCell ref="AW1:AW2"/>
    <mergeCell ref="AX1:AX2"/>
    <mergeCell ref="AY1:AY2"/>
    <mergeCell ref="AZ1:AZ2"/>
    <mergeCell ref="BA1:BA2"/>
    <mergeCell ref="BB1:BB2"/>
    <mergeCell ref="AU1:AU2"/>
    <mergeCell ref="AV1:AV2"/>
    <mergeCell ref="AJ1:AJ2"/>
    <mergeCell ref="AK1:AK2"/>
    <mergeCell ref="AL1:AL2"/>
    <mergeCell ref="AM1:AM2"/>
    <mergeCell ref="AT1:AT2"/>
    <mergeCell ref="AN1:AN2"/>
    <mergeCell ref="AO1:AO2"/>
    <mergeCell ref="AQ1:AQ2"/>
    <mergeCell ref="AR1:AR2"/>
    <mergeCell ref="AS1:AS2"/>
    <mergeCell ref="AP1:AP2"/>
    <mergeCell ref="AI1:AI2"/>
    <mergeCell ref="Q1:Q2"/>
    <mergeCell ref="R1:S1"/>
    <mergeCell ref="T1:U1"/>
    <mergeCell ref="V1:W1"/>
    <mergeCell ref="X1:Y1"/>
    <mergeCell ref="AC1:AD1"/>
    <mergeCell ref="P1:P2"/>
    <mergeCell ref="AE1:AE2"/>
    <mergeCell ref="AF1:AF2"/>
    <mergeCell ref="AG1:AG2"/>
    <mergeCell ref="AH1:AH2"/>
    <mergeCell ref="N1:O1"/>
    <mergeCell ref="C1:C2"/>
    <mergeCell ref="D1:D2"/>
    <mergeCell ref="E1:J1"/>
    <mergeCell ref="K1:K2"/>
    <mergeCell ref="A1:A2"/>
    <mergeCell ref="B1:B2"/>
    <mergeCell ref="L1:M1"/>
  </mergeCells>
  <phoneticPr fontId="2" type="noConversion"/>
  <pageMargins left="0.2" right="0.2" top="0.33" bottom="0.19" header="0.17" footer="0.16"/>
  <pageSetup paperSize="9" scale="5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Пользователь</cp:lastModifiedBy>
  <cp:lastPrinted>2018-03-13T12:41:53Z</cp:lastPrinted>
  <dcterms:created xsi:type="dcterms:W3CDTF">2009-11-10T06:40:39Z</dcterms:created>
  <dcterms:modified xsi:type="dcterms:W3CDTF">2023-01-17T08:08:51Z</dcterms:modified>
</cp:coreProperties>
</file>