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2" windowWidth="14916" windowHeight="6600" tabRatio="716"/>
  </bookViews>
  <sheets>
    <sheet name="2019" sheetId="4" r:id="rId1"/>
    <sheet name="Привокзальный район" sheetId="6" r:id="rId2"/>
  </sheets>
  <definedNames>
    <definedName name="_xlnm.Print_Area" localSheetId="0">'2019'!$A$1:$AZ$63</definedName>
  </definedNames>
  <calcPr calcId="125725"/>
</workbook>
</file>

<file path=xl/calcChain.xml><?xml version="1.0" encoding="utf-8"?>
<calcChain xmlns="http://schemas.openxmlformats.org/spreadsheetml/2006/main">
  <c r="AE21" i="4"/>
  <c r="AM60" l="1"/>
  <c r="AL60"/>
  <c r="AM59"/>
  <c r="AL59"/>
  <c r="AM58"/>
  <c r="AL58"/>
  <c r="AM44"/>
  <c r="AL44"/>
  <c r="AM40"/>
  <c r="AL40"/>
  <c r="AM39"/>
  <c r="AL39"/>
  <c r="AM38"/>
  <c r="AL38"/>
  <c r="AM36"/>
  <c r="AL36"/>
  <c r="AM33"/>
  <c r="AL33"/>
  <c r="AM31"/>
  <c r="AL31"/>
  <c r="AM30"/>
  <c r="AL30"/>
  <c r="AM26"/>
  <c r="AL26"/>
  <c r="AM25"/>
  <c r="AL25"/>
  <c r="AM24"/>
  <c r="AL24"/>
  <c r="AM54"/>
  <c r="AL54"/>
  <c r="AM53"/>
  <c r="AM47"/>
  <c r="AL47"/>
  <c r="AM17"/>
  <c r="AL17"/>
  <c r="AM13"/>
  <c r="AL13"/>
  <c r="AM12"/>
  <c r="AL12"/>
  <c r="AM11"/>
  <c r="AL11"/>
  <c r="AL10"/>
  <c r="AM10"/>
  <c r="AM6"/>
  <c r="AL6"/>
  <c r="AM5"/>
  <c r="AL5"/>
  <c r="AK14" i="6"/>
  <c r="AG14"/>
  <c r="AH14"/>
  <c r="AO9"/>
  <c r="AK9"/>
  <c r="AG9"/>
  <c r="AH9"/>
  <c r="AO8"/>
  <c r="AO17" s="1"/>
  <c r="AK8"/>
  <c r="AH8"/>
  <c r="AK7"/>
  <c r="AH7"/>
  <c r="AK6"/>
  <c r="AG6"/>
  <c r="AH6"/>
  <c r="AQ10"/>
  <c r="AK4"/>
  <c r="AH4"/>
  <c r="AG4"/>
  <c r="AK3"/>
  <c r="AQ11"/>
  <c r="AQ16"/>
  <c r="AN15"/>
  <c r="AN8"/>
  <c r="AV3"/>
  <c r="E17"/>
  <c r="F17"/>
  <c r="G17"/>
  <c r="H17"/>
  <c r="I17"/>
  <c r="J17"/>
  <c r="K17"/>
  <c r="L17"/>
  <c r="M17"/>
  <c r="N17"/>
  <c r="O17"/>
  <c r="P17"/>
  <c r="Q17"/>
  <c r="R17"/>
  <c r="T17"/>
  <c r="U17"/>
  <c r="V17"/>
  <c r="W17"/>
  <c r="X17"/>
  <c r="Y17"/>
  <c r="Z17"/>
  <c r="AA17"/>
  <c r="AB17"/>
  <c r="AC17"/>
  <c r="AD17"/>
  <c r="AE17"/>
  <c r="AF17"/>
  <c r="AJ17"/>
  <c r="AL17"/>
  <c r="AM17"/>
  <c r="AS17"/>
  <c r="AT17"/>
  <c r="AV14"/>
  <c r="AV5"/>
  <c r="AV10"/>
  <c r="AV11"/>
  <c r="AV12"/>
  <c r="AV13"/>
  <c r="AV16"/>
  <c r="AK15"/>
  <c r="AN17" l="1"/>
  <c r="S17"/>
  <c r="AQ14"/>
  <c r="AG17"/>
  <c r="AH17"/>
  <c r="AQ7"/>
  <c r="AI17"/>
  <c r="AQ3"/>
  <c r="AP17"/>
  <c r="AQ8"/>
  <c r="AQ4"/>
  <c r="AQ13"/>
  <c r="AQ12"/>
  <c r="AQ9"/>
  <c r="AQ5"/>
  <c r="D17"/>
  <c r="AQ6"/>
  <c r="AV9"/>
  <c r="AV15"/>
  <c r="AV8"/>
  <c r="AV7"/>
  <c r="AV4"/>
  <c r="AU17"/>
  <c r="AK17"/>
  <c r="AV6"/>
  <c r="AR17"/>
  <c r="AV17" l="1"/>
  <c r="AU48" i="4" l="1"/>
  <c r="C17" i="6" l="1"/>
  <c r="AQ15"/>
  <c r="AQ17" s="1"/>
  <c r="AT6" i="4"/>
  <c r="AH44" l="1"/>
  <c r="AH36"/>
  <c r="AH35"/>
  <c r="AH31"/>
  <c r="AH29"/>
  <c r="AH27"/>
  <c r="AH52"/>
  <c r="AH49"/>
  <c r="AH47"/>
  <c r="AH46"/>
  <c r="AH48"/>
  <c r="AH57"/>
  <c r="AH56"/>
  <c r="AH17"/>
  <c r="AH14"/>
  <c r="AH13"/>
  <c r="AH10"/>
  <c r="AH7"/>
  <c r="AH59"/>
  <c r="AH58"/>
  <c r="AH45"/>
  <c r="AG38" l="1"/>
  <c r="AG41"/>
  <c r="AG40"/>
  <c r="AG44"/>
  <c r="AG36"/>
  <c r="AG31"/>
  <c r="AG25"/>
  <c r="AG49"/>
  <c r="AG10"/>
  <c r="AG9"/>
  <c r="AE33"/>
  <c r="AE26"/>
  <c r="AE16"/>
  <c r="AE15"/>
  <c r="AE14"/>
  <c r="AE6"/>
  <c r="AE62"/>
  <c r="AE61"/>
  <c r="AE60"/>
  <c r="AE59"/>
  <c r="AE58"/>
  <c r="AE47"/>
  <c r="AE54"/>
  <c r="AE45"/>
  <c r="AE44"/>
  <c r="AE43"/>
  <c r="AE42"/>
  <c r="AE41"/>
  <c r="AE40"/>
  <c r="AE51"/>
  <c r="AE49"/>
  <c r="AE46"/>
  <c r="AT26"/>
  <c r="B17" i="6"/>
  <c r="AE63" i="4" l="1"/>
  <c r="AW26"/>
  <c r="AS63"/>
  <c r="AW10" l="1"/>
  <c r="AW36"/>
  <c r="AW6"/>
  <c r="AW24"/>
  <c r="AW5"/>
  <c r="AW39"/>
  <c r="AW44"/>
  <c r="AW53"/>
  <c r="AW61"/>
  <c r="AW43"/>
  <c r="AW37"/>
  <c r="AW4"/>
  <c r="AC63"/>
  <c r="AL63"/>
  <c r="AM63"/>
  <c r="AW21"/>
  <c r="AW19"/>
  <c r="AW15"/>
  <c r="AW8"/>
  <c r="AW52"/>
  <c r="AW49"/>
  <c r="AW57"/>
  <c r="AW55"/>
  <c r="AW54"/>
  <c r="Q63"/>
  <c r="B63"/>
  <c r="AY63"/>
  <c r="AK63"/>
  <c r="AB63"/>
  <c r="AA63"/>
  <c r="Z63"/>
  <c r="Y63"/>
  <c r="X63"/>
  <c r="W63"/>
  <c r="U63"/>
  <c r="T63"/>
  <c r="S63"/>
  <c r="R63"/>
  <c r="V63"/>
  <c r="AN63"/>
  <c r="AG63"/>
  <c r="AI63"/>
  <c r="AD63"/>
  <c r="AJ63"/>
  <c r="AW29"/>
  <c r="AW60"/>
  <c r="AW58"/>
  <c r="AW62"/>
  <c r="AW35"/>
  <c r="AW34"/>
  <c r="AW33"/>
  <c r="AW31"/>
  <c r="AW30"/>
  <c r="AW28"/>
  <c r="AW25"/>
  <c r="AW22"/>
  <c r="AW41"/>
  <c r="AW20"/>
  <c r="AW18"/>
  <c r="AW16"/>
  <c r="AW14"/>
  <c r="AW13"/>
  <c r="AW12"/>
  <c r="AW11"/>
  <c r="AW9"/>
  <c r="AW7"/>
  <c r="AW51"/>
  <c r="AW47"/>
  <c r="AW56"/>
  <c r="AH63"/>
  <c r="AW48" l="1"/>
  <c r="AW50"/>
  <c r="AW46"/>
  <c r="AW45"/>
  <c r="AW42"/>
  <c r="AW23"/>
  <c r="AW27"/>
  <c r="AW59"/>
  <c r="AW38"/>
  <c r="AW3"/>
  <c r="AW40"/>
  <c r="AV63"/>
  <c r="AW17"/>
  <c r="AW32"/>
  <c r="AW63" l="1"/>
  <c r="AR3"/>
  <c r="AR62" l="1"/>
  <c r="AO63"/>
  <c r="AR59"/>
  <c r="AR14"/>
  <c r="AP63"/>
  <c r="AF63" l="1"/>
  <c r="D63"/>
  <c r="C63"/>
  <c r="AX14" l="1"/>
  <c r="AR37"/>
  <c r="AX59"/>
  <c r="AX62"/>
  <c r="AR34" l="1"/>
  <c r="AX34" s="1"/>
  <c r="AR39"/>
  <c r="AX39" s="1"/>
  <c r="AR45"/>
  <c r="AX45" s="1"/>
  <c r="AR36"/>
  <c r="AX36" s="1"/>
  <c r="AR11"/>
  <c r="AX11" s="1"/>
  <c r="AR28"/>
  <c r="AX28" s="1"/>
  <c r="AR24"/>
  <c r="AX24" s="1"/>
  <c r="AR42"/>
  <c r="AX42" s="1"/>
  <c r="AR10"/>
  <c r="AX10" s="1"/>
  <c r="AR55"/>
  <c r="AX55" s="1"/>
  <c r="AR32"/>
  <c r="AX32" s="1"/>
  <c r="AR26"/>
  <c r="AX26" s="1"/>
  <c r="AR43"/>
  <c r="AX43" s="1"/>
  <c r="AR61"/>
  <c r="AX61" s="1"/>
  <c r="AR46"/>
  <c r="AX46" s="1"/>
  <c r="AR22"/>
  <c r="AX22" s="1"/>
  <c r="AR40"/>
  <c r="AX40" s="1"/>
  <c r="AR44"/>
  <c r="AX44" s="1"/>
  <c r="AX3"/>
  <c r="AR13"/>
  <c r="AX13" s="1"/>
  <c r="AR54"/>
  <c r="AX54" s="1"/>
  <c r="AR52"/>
  <c r="AX52" s="1"/>
  <c r="AR47"/>
  <c r="AX47" s="1"/>
  <c r="AR12"/>
  <c r="AX12" s="1"/>
  <c r="AR19"/>
  <c r="AX19" s="1"/>
  <c r="AR50"/>
  <c r="AX50" s="1"/>
  <c r="AR60"/>
  <c r="AX60" s="1"/>
  <c r="AR8"/>
  <c r="AX8" s="1"/>
  <c r="AR31"/>
  <c r="AX31" s="1"/>
  <c r="AR6"/>
  <c r="AX6" s="1"/>
  <c r="AR56"/>
  <c r="AX56" s="1"/>
  <c r="AR29"/>
  <c r="AX29" s="1"/>
  <c r="AR16"/>
  <c r="AX16" s="1"/>
  <c r="AR7"/>
  <c r="AX7" s="1"/>
  <c r="AR4"/>
  <c r="AX4" s="1"/>
  <c r="AR21"/>
  <c r="AX21" s="1"/>
  <c r="AR18"/>
  <c r="AX18" s="1"/>
  <c r="AR17"/>
  <c r="AX17" s="1"/>
  <c r="AR58"/>
  <c r="AX58" s="1"/>
  <c r="AR35"/>
  <c r="AX35" s="1"/>
  <c r="AR20"/>
  <c r="AX20" s="1"/>
  <c r="AR9"/>
  <c r="AX9" s="1"/>
  <c r="AR25"/>
  <c r="AX25" s="1"/>
  <c r="AR57"/>
  <c r="AX57" s="1"/>
  <c r="AR49"/>
  <c r="AX49" s="1"/>
  <c r="AR53"/>
  <c r="AX53" s="1"/>
  <c r="AR23"/>
  <c r="AX23" s="1"/>
  <c r="AR15"/>
  <c r="AX15" s="1"/>
  <c r="AR27"/>
  <c r="AX27" s="1"/>
  <c r="AR48"/>
  <c r="AX48" s="1"/>
  <c r="AR5"/>
  <c r="AX5" s="1"/>
  <c r="AR33"/>
  <c r="AX33" s="1"/>
  <c r="AR51"/>
  <c r="AX51" s="1"/>
  <c r="AR38"/>
  <c r="AX38" s="1"/>
  <c r="AR41" l="1"/>
  <c r="AR30"/>
  <c r="AX30" s="1"/>
  <c r="P63"/>
  <c r="AX37"/>
  <c r="AR63" l="1"/>
  <c r="AX41"/>
  <c r="AX63" s="1"/>
</calcChain>
</file>

<file path=xl/sharedStrings.xml><?xml version="1.0" encoding="utf-8"?>
<sst xmlns="http://schemas.openxmlformats.org/spreadsheetml/2006/main" count="196" uniqueCount="135">
  <si>
    <t>Дом</t>
  </si>
  <si>
    <t>Мира,д.48/1</t>
  </si>
  <si>
    <t>ремонт кровли</t>
  </si>
  <si>
    <t>Зарплата обслуживающего персонала</t>
  </si>
  <si>
    <t>мира,д.17а</t>
  </si>
  <si>
    <t>мира,д.17д</t>
  </si>
  <si>
    <t>мира,д.38/1</t>
  </si>
  <si>
    <t>мира,д.40</t>
  </si>
  <si>
    <t>мира,д.42</t>
  </si>
  <si>
    <t>мира,д.44</t>
  </si>
  <si>
    <t>мира,д.44а</t>
  </si>
  <si>
    <t>мира,д.44б</t>
  </si>
  <si>
    <t>мира,д.48а</t>
  </si>
  <si>
    <t>мира,д.50</t>
  </si>
  <si>
    <t>мира,д.52</t>
  </si>
  <si>
    <t>мира,д.54</t>
  </si>
  <si>
    <t>мира,д.56</t>
  </si>
  <si>
    <t>мира,д.52а</t>
  </si>
  <si>
    <t>мира,д.54а</t>
  </si>
  <si>
    <t>мира,д.54б</t>
  </si>
  <si>
    <t>мира,д.54в</t>
  </si>
  <si>
    <t>Орджоникидзе,д.2</t>
  </si>
  <si>
    <t>Орджоникидзе,д.2 кор.2</t>
  </si>
  <si>
    <t>Орджоникидзе,д3</t>
  </si>
  <si>
    <t>Орджоникидзе,д4</t>
  </si>
  <si>
    <t>Орджоникидзе,д5</t>
  </si>
  <si>
    <t>Орджоникидзе,д3а</t>
  </si>
  <si>
    <t>Орджоникидзе,д3б</t>
  </si>
  <si>
    <t>Орджоникидзе,д3в</t>
  </si>
  <si>
    <t>Орджоникидзе,д3г</t>
  </si>
  <si>
    <t>Орджоникидзе,д5а</t>
  </si>
  <si>
    <t>Орджоникидзе,д5б</t>
  </si>
  <si>
    <t>Орджоникидзе,д5в</t>
  </si>
  <si>
    <t>Орджоникидзе,д5д</t>
  </si>
  <si>
    <t>Орджоникидзе,д6/33</t>
  </si>
  <si>
    <t>Орджоникидзе,д7а</t>
  </si>
  <si>
    <t>ул.Молодежная,д.2</t>
  </si>
  <si>
    <t>ул.Молодежная,д.4</t>
  </si>
  <si>
    <t>ул.Молодежная,д.6</t>
  </si>
  <si>
    <t>ул.Молодежная,д.8</t>
  </si>
  <si>
    <t>ул.Молодежная,д.8а</t>
  </si>
  <si>
    <t>ул.Молодежная,д.8б</t>
  </si>
  <si>
    <t>ул.Молодежная,д.10</t>
  </si>
  <si>
    <t>ул.Молодежная,д.12</t>
  </si>
  <si>
    <t>ул.Есенина,д.3</t>
  </si>
  <si>
    <t>ул.Есенина,д.4</t>
  </si>
  <si>
    <t>ул.Есенина,д.5</t>
  </si>
  <si>
    <t>ул.Есенина,д.7</t>
  </si>
  <si>
    <t>ул.Есенина,д.5а</t>
  </si>
  <si>
    <t>ул.Есенина,д.7а</t>
  </si>
  <si>
    <t>ул.Есенина,д.7б</t>
  </si>
  <si>
    <t>ул.Дружбы,д.29/7</t>
  </si>
  <si>
    <t>ул.Дружбы,д.29а</t>
  </si>
  <si>
    <t>ул.Дружбы,д.31</t>
  </si>
  <si>
    <t>ул.Дружбы,д.31а</t>
  </si>
  <si>
    <t>ул.Трудовой проезд,д.1</t>
  </si>
  <si>
    <t>ул.Трудовой проезд,д.3</t>
  </si>
  <si>
    <t>ул.Трудовой проезд,д.5</t>
  </si>
  <si>
    <t>ул.Трудовой проезд,д.7</t>
  </si>
  <si>
    <t>ул.Трудовой проезд,д.11</t>
  </si>
  <si>
    <t>Мира,д.17г</t>
  </si>
  <si>
    <t>Орджоникидзе,д5г</t>
  </si>
  <si>
    <t>ИТОГО</t>
  </si>
  <si>
    <t xml:space="preserve">кв. м </t>
  </si>
  <si>
    <t>Аварийно-сервисное обслуживание</t>
  </si>
  <si>
    <t>Уборка придомовой территории</t>
  </si>
  <si>
    <t>Ремонт швов</t>
  </si>
  <si>
    <t>Ремонт подъездов</t>
  </si>
  <si>
    <t>Текущий ремонт системы центрального отопления</t>
  </si>
  <si>
    <t>Восстановление опопления в подъездах</t>
  </si>
  <si>
    <t>Капитальный ремонт системы горячего водоснабжения</t>
  </si>
  <si>
    <t>Текущий ремонт системы горячего водоснабжения</t>
  </si>
  <si>
    <t>Ремонт конструктивных элементов зданий (материальные затраты)</t>
  </si>
  <si>
    <t>Ремонт ступеней</t>
  </si>
  <si>
    <t>Ремонт балкона</t>
  </si>
  <si>
    <t>Установка подвальных дверей</t>
  </si>
  <si>
    <t>Обслуживние лифта</t>
  </si>
  <si>
    <t>Ресурсы по МКД</t>
  </si>
  <si>
    <t>Расходы на управление</t>
  </si>
  <si>
    <t>ИТОГО расходы</t>
  </si>
  <si>
    <t>Отопление,п.м.</t>
  </si>
  <si>
    <t>сумма</t>
  </si>
  <si>
    <t>Замена стояков,п.м.</t>
  </si>
  <si>
    <t>п.м.</t>
  </si>
  <si>
    <t>кв.м</t>
  </si>
  <si>
    <t>сумма(работа)</t>
  </si>
  <si>
    <t>кол-во</t>
  </si>
  <si>
    <t>Сумма (работа)</t>
  </si>
  <si>
    <t>пог. М</t>
  </si>
  <si>
    <t>Сумма</t>
  </si>
  <si>
    <t>шт</t>
  </si>
  <si>
    <t>ул.Есенина,д.7в</t>
  </si>
  <si>
    <t>Ремонт фасадов(цоколей)</t>
  </si>
  <si>
    <t>Сальдо по затратам на 01.01.2015г.</t>
  </si>
  <si>
    <t>монтаж отливов</t>
  </si>
  <si>
    <t>Уборка лестничных клеток и мусоропроводов</t>
  </si>
  <si>
    <t>Опиловка деревьев</t>
  </si>
  <si>
    <t>Услуги Расчетного центра</t>
  </si>
  <si>
    <t>Услуги по дератизации</t>
  </si>
  <si>
    <t>Перерасчет (стр30 форма 2.8)</t>
  </si>
  <si>
    <t>Получено целевых взносов (стр 13 форма 2.8)</t>
  </si>
  <si>
    <t>Работы по содержания и ремонту ВДО, вход.в общее имущество дома</t>
  </si>
  <si>
    <t>Работы по содержанию земельного участка</t>
  </si>
  <si>
    <t>Ресурсы по МКД(электроэнергия)</t>
  </si>
  <si>
    <t>Сальдо по затратам на 01.01.2016г.</t>
  </si>
  <si>
    <t>Работы по ремонту конструктивных элементов зданий</t>
  </si>
  <si>
    <t>Техобслуживание ОДПУ</t>
  </si>
  <si>
    <t>Ремонт конструктивных элементов зданий (услуги)</t>
  </si>
  <si>
    <t>Ремонт конструктивных элементов зданий (прочие затраты)</t>
  </si>
  <si>
    <t>Ресурсы по МКД(х/в вода)</t>
  </si>
  <si>
    <t>Начислено по статьям  содержание жилья,вывоз ТБО,лифт за 2019г. (Стр.7,8 форма 2.8)</t>
  </si>
  <si>
    <t>Оплачено  за 2019г. (стр.15 форма 2.8)</t>
  </si>
  <si>
    <t>Комсомольская д.2</t>
  </si>
  <si>
    <t>Комсомольская д.2а</t>
  </si>
  <si>
    <t>Комсомольская д.4</t>
  </si>
  <si>
    <t>Комсомольская д.6</t>
  </si>
  <si>
    <t>Чапаева д.2</t>
  </si>
  <si>
    <t>Чапаева д.6</t>
  </si>
  <si>
    <t>Чапаева д.8</t>
  </si>
  <si>
    <t>Чапаева д.10</t>
  </si>
  <si>
    <t>Чапаева д.12</t>
  </si>
  <si>
    <t>Чапаева д.12а</t>
  </si>
  <si>
    <t>Школьная д.8</t>
  </si>
  <si>
    <t>Школьная д.8а</t>
  </si>
  <si>
    <t>Школьная д.8б</t>
  </si>
  <si>
    <t>Школьная д.10</t>
  </si>
  <si>
    <t>Ресурсы по МКД(ГВС)</t>
  </si>
  <si>
    <t>Ремонт плиты</t>
  </si>
  <si>
    <t>Услуги по дератизации, дезинсекции</t>
  </si>
  <si>
    <t>Сальдо на 01.01.2020г. (стр.20 форма 2.8)</t>
  </si>
  <si>
    <t>Сальдо на 01.01.2019г.(стр.6 форма 2.8)</t>
  </si>
  <si>
    <t xml:space="preserve">Начислено по статьям  содержание жилья,2019г. </t>
  </si>
  <si>
    <t xml:space="preserve">Оплачено  за 2019г. </t>
  </si>
  <si>
    <t>Сальдо на 01.01.2020г.</t>
  </si>
  <si>
    <t>Сальдо на 01.01.2019г.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</si>
</sst>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7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0" xfId="0" applyBorder="1"/>
    <xf numFmtId="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0" borderId="1" xfId="0" applyBorder="1" applyAlignment="1">
      <alignment vertical="justify"/>
    </xf>
    <xf numFmtId="4" fontId="0" fillId="3" borderId="1" xfId="0" applyNumberFormat="1" applyFill="1" applyBorder="1"/>
    <xf numFmtId="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vertical="justify"/>
    </xf>
    <xf numFmtId="2" fontId="0" fillId="3" borderId="5" xfId="0" applyNumberFormat="1" applyFill="1" applyBorder="1" applyAlignment="1">
      <alignment horizontal="center" textRotation="90" wrapText="1"/>
    </xf>
    <xf numFmtId="0" fontId="0" fillId="3" borderId="5" xfId="0" applyFont="1" applyFill="1" applyBorder="1" applyAlignment="1">
      <alignment vertical="justify" textRotation="90"/>
    </xf>
    <xf numFmtId="0" fontId="0" fillId="3" borderId="4" xfId="0" applyFill="1" applyBorder="1" applyAlignment="1">
      <alignment horizontal="center" vertical="justify"/>
    </xf>
    <xf numFmtId="0" fontId="0" fillId="3" borderId="6" xfId="0" applyFill="1" applyBorder="1" applyAlignment="1">
      <alignment horizontal="center" vertical="justify"/>
    </xf>
    <xf numFmtId="0" fontId="0" fillId="3" borderId="3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justify"/>
    </xf>
    <xf numFmtId="2" fontId="0" fillId="3" borderId="5" xfId="0" applyNumberFormat="1" applyFill="1" applyBorder="1" applyAlignment="1">
      <alignment horizontal="distributed" vertical="justify" textRotation="90" wrapText="1"/>
    </xf>
    <xf numFmtId="0" fontId="3" fillId="3" borderId="4" xfId="0" applyFont="1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justify"/>
    </xf>
    <xf numFmtId="0" fontId="3" fillId="3" borderId="1" xfId="0" applyFont="1" applyFill="1" applyBorder="1" applyAlignment="1">
      <alignment horizontal="center" vertical="justify"/>
    </xf>
    <xf numFmtId="0" fontId="0" fillId="3" borderId="4" xfId="0" applyFill="1" applyBorder="1" applyAlignment="1">
      <alignment horizontal="center" vertical="justify"/>
    </xf>
    <xf numFmtId="0" fontId="3" fillId="3" borderId="5" xfId="0" applyFont="1" applyFill="1" applyBorder="1" applyAlignment="1">
      <alignment vertical="justify" textRotation="90"/>
    </xf>
    <xf numFmtId="0" fontId="0" fillId="3" borderId="5" xfId="0" applyFill="1" applyBorder="1" applyAlignment="1">
      <alignment horizontal="center" vertical="justify" textRotation="90" wrapText="1"/>
    </xf>
    <xf numFmtId="0" fontId="0" fillId="3" borderId="5" xfId="0" applyFill="1" applyBorder="1" applyAlignment="1">
      <alignment horizontal="center" vertical="center" textRotation="90" wrapText="1"/>
    </xf>
    <xf numFmtId="0" fontId="0" fillId="3" borderId="5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textRotation="90"/>
    </xf>
    <xf numFmtId="0" fontId="0" fillId="3" borderId="5" xfId="0" applyFill="1" applyBorder="1" applyAlignment="1">
      <alignment horizontal="center" vertical="center" textRotation="90"/>
    </xf>
    <xf numFmtId="2" fontId="0" fillId="3" borderId="5" xfId="0" applyNumberFormat="1" applyFont="1" applyFill="1" applyBorder="1" applyAlignment="1">
      <alignment horizontal="center" vertical="center" textRotation="90"/>
    </xf>
    <xf numFmtId="2" fontId="3" fillId="3" borderId="5" xfId="0" applyNumberFormat="1" applyFont="1" applyFill="1" applyBorder="1" applyAlignment="1">
      <alignment vertical="justify"/>
    </xf>
    <xf numFmtId="0" fontId="0" fillId="3" borderId="5" xfId="0" applyFill="1" applyBorder="1" applyAlignment="1">
      <alignment horizontal="center" vertical="center" wrapText="1"/>
    </xf>
    <xf numFmtId="2" fontId="0" fillId="3" borderId="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textRotation="90" wrapText="1"/>
    </xf>
    <xf numFmtId="0" fontId="0" fillId="3" borderId="2" xfId="0" applyFont="1" applyFill="1" applyBorder="1" applyAlignment="1">
      <alignment vertical="justify" textRotation="90"/>
    </xf>
    <xf numFmtId="0" fontId="0" fillId="3" borderId="2" xfId="0" applyFill="1" applyBorder="1" applyAlignment="1">
      <alignment textRotation="90"/>
    </xf>
    <xf numFmtId="0" fontId="0" fillId="3" borderId="2" xfId="0" applyFill="1" applyBorder="1" applyAlignment="1">
      <alignment horizontal="center" vertical="justify"/>
    </xf>
    <xf numFmtId="2" fontId="3" fillId="3" borderId="2" xfId="0" applyNumberFormat="1" applyFont="1" applyFill="1" applyBorder="1" applyAlignment="1">
      <alignment horizontal="distributed" vertical="justify" textRotation="90" wrapText="1"/>
    </xf>
    <xf numFmtId="0" fontId="0" fillId="3" borderId="1" xfId="0" applyFill="1" applyBorder="1" applyAlignment="1">
      <alignment textRotation="90"/>
    </xf>
    <xf numFmtId="0" fontId="0" fillId="3" borderId="1" xfId="0" applyFill="1" applyBorder="1" applyAlignment="1">
      <alignment vertical="justify" textRotation="90"/>
    </xf>
    <xf numFmtId="0" fontId="3" fillId="3" borderId="2" xfId="0" applyFont="1" applyFill="1" applyBorder="1" applyAlignment="1">
      <alignment vertical="justify" textRotation="90"/>
    </xf>
    <xf numFmtId="0" fontId="0" fillId="3" borderId="2" xfId="0" applyFill="1" applyBorder="1" applyAlignment="1">
      <alignment horizontal="center" vertical="justify" textRotation="90" wrapText="1"/>
    </xf>
    <xf numFmtId="0" fontId="0" fillId="3" borderId="2" xfId="0" applyFill="1" applyBorder="1" applyAlignment="1">
      <alignment horizontal="center" vertical="center" textRotation="90" wrapText="1"/>
    </xf>
    <xf numFmtId="0" fontId="0" fillId="3" borderId="2" xfId="0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2" fontId="3" fillId="3" borderId="2" xfId="0" applyNumberFormat="1" applyFont="1" applyFill="1" applyBorder="1" applyAlignment="1">
      <alignment horizontal="center" vertical="center" textRotation="90"/>
    </xf>
    <xf numFmtId="2" fontId="3" fillId="3" borderId="2" xfId="0" applyNumberFormat="1" applyFont="1" applyFill="1" applyBorder="1" applyAlignment="1">
      <alignment vertical="justify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center"/>
    </xf>
    <xf numFmtId="4" fontId="0" fillId="3" borderId="1" xfId="0" applyNumberFormat="1" applyFont="1" applyFill="1" applyBorder="1"/>
    <xf numFmtId="4" fontId="3" fillId="3" borderId="1" xfId="0" applyNumberFormat="1" applyFont="1" applyFill="1" applyBorder="1"/>
    <xf numFmtId="4" fontId="6" fillId="3" borderId="1" xfId="0" applyNumberFormat="1" applyFont="1" applyFill="1" applyBorder="1"/>
    <xf numFmtId="4" fontId="3" fillId="3" borderId="3" xfId="0" applyNumberFormat="1" applyFont="1" applyFill="1" applyBorder="1"/>
    <xf numFmtId="4" fontId="6" fillId="3" borderId="1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4" fontId="5" fillId="3" borderId="1" xfId="1" applyNumberFormat="1" applyFont="1" applyFill="1" applyBorder="1" applyAlignment="1">
      <alignment horizontal="right" vertical="center"/>
    </xf>
    <xf numFmtId="4" fontId="5" fillId="3" borderId="3" xfId="1" applyNumberFormat="1" applyFont="1" applyFill="1" applyBorder="1" applyAlignment="1">
      <alignment horizontal="right" vertical="center"/>
    </xf>
    <xf numFmtId="4" fontId="3" fillId="3" borderId="0" xfId="0" applyNumberFormat="1" applyFont="1" applyFill="1"/>
    <xf numFmtId="4" fontId="0" fillId="3" borderId="1" xfId="0" applyNumberFormat="1" applyFill="1" applyBorder="1" applyProtection="1">
      <protection hidden="1"/>
    </xf>
    <xf numFmtId="0" fontId="0" fillId="3" borderId="0" xfId="0" applyFill="1"/>
    <xf numFmtId="2" fontId="3" fillId="3" borderId="0" xfId="0" applyNumberFormat="1" applyFont="1" applyFill="1" applyAlignment="1">
      <alignment horizontal="center"/>
    </xf>
    <xf numFmtId="0" fontId="0" fillId="3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0" fontId="3" fillId="3" borderId="0" xfId="0" applyFont="1" applyFill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4" fontId="0" fillId="3" borderId="3" xfId="0" applyNumberFormat="1" applyFont="1" applyFill="1" applyBorder="1"/>
    <xf numFmtId="4" fontId="0" fillId="3" borderId="3" xfId="0" applyNumberFormat="1" applyFont="1" applyFill="1" applyBorder="1" applyAlignment="1">
      <alignment horizontal="center"/>
    </xf>
    <xf numFmtId="2" fontId="0" fillId="0" borderId="0" xfId="0" applyNumberFormat="1" applyFont="1"/>
    <xf numFmtId="0" fontId="0" fillId="0" borderId="0" xfId="0" applyFont="1"/>
    <xf numFmtId="4" fontId="0" fillId="3" borderId="2" xfId="0" applyNumberFormat="1" applyFont="1" applyFill="1" applyBorder="1" applyAlignment="1">
      <alignment vertical="justify"/>
    </xf>
    <xf numFmtId="0" fontId="0" fillId="3" borderId="1" xfId="0" applyFont="1" applyFill="1" applyBorder="1" applyAlignment="1">
      <alignment vertical="justify"/>
    </xf>
    <xf numFmtId="2" fontId="0" fillId="3" borderId="5" xfId="0" applyNumberFormat="1" applyFont="1" applyFill="1" applyBorder="1" applyAlignment="1">
      <alignment horizontal="center" textRotation="90" wrapText="1"/>
    </xf>
    <xf numFmtId="0" fontId="0" fillId="3" borderId="4" xfId="0" applyFont="1" applyFill="1" applyBorder="1" applyAlignment="1">
      <alignment horizontal="center" vertical="justify"/>
    </xf>
    <xf numFmtId="0" fontId="0" fillId="3" borderId="6" xfId="0" applyFont="1" applyFill="1" applyBorder="1" applyAlignment="1">
      <alignment horizontal="center" vertical="justify"/>
    </xf>
    <xf numFmtId="0" fontId="0" fillId="3" borderId="3" xfId="0" applyFont="1" applyFill="1" applyBorder="1" applyAlignment="1">
      <alignment horizontal="center" vertical="justify"/>
    </xf>
    <xf numFmtId="0" fontId="0" fillId="3" borderId="5" xfId="0" applyFont="1" applyFill="1" applyBorder="1" applyAlignment="1">
      <alignment horizontal="center" vertical="justify"/>
    </xf>
    <xf numFmtId="0" fontId="0" fillId="3" borderId="1" xfId="0" applyFont="1" applyFill="1" applyBorder="1" applyAlignment="1">
      <alignment horizontal="center" vertical="justify"/>
    </xf>
    <xf numFmtId="2" fontId="0" fillId="3" borderId="5" xfId="0" applyNumberFormat="1" applyFont="1" applyFill="1" applyBorder="1" applyAlignment="1">
      <alignment horizontal="distributed" vertical="justify" wrapText="1"/>
    </xf>
    <xf numFmtId="2" fontId="0" fillId="3" borderId="5" xfId="0" applyNumberFormat="1" applyFont="1" applyFill="1" applyBorder="1" applyAlignment="1">
      <alignment horizontal="distributed" vertical="justify" textRotation="90" wrapText="1"/>
    </xf>
    <xf numFmtId="0" fontId="0" fillId="3" borderId="4" xfId="0" applyFont="1" applyFill="1" applyBorder="1" applyAlignment="1">
      <alignment horizontal="center" vertical="top"/>
    </xf>
    <xf numFmtId="0" fontId="0" fillId="3" borderId="3" xfId="0" applyFont="1" applyFill="1" applyBorder="1" applyAlignment="1">
      <alignment horizontal="center" vertical="top"/>
    </xf>
    <xf numFmtId="0" fontId="0" fillId="3" borderId="4" xfId="0" applyFont="1" applyFill="1" applyBorder="1" applyAlignment="1">
      <alignment horizontal="center" vertical="justify"/>
    </xf>
    <xf numFmtId="0" fontId="0" fillId="3" borderId="5" xfId="0" applyFont="1" applyFill="1" applyBorder="1" applyAlignment="1">
      <alignment horizontal="center" vertical="justify" textRotation="90" wrapText="1"/>
    </xf>
    <xf numFmtId="2" fontId="0" fillId="3" borderId="5" xfId="0" applyNumberFormat="1" applyFont="1" applyFill="1" applyBorder="1" applyAlignment="1">
      <alignment vertical="justify"/>
    </xf>
    <xf numFmtId="0" fontId="0" fillId="3" borderId="5" xfId="0" applyFont="1" applyFill="1" applyBorder="1" applyAlignment="1">
      <alignment horizontal="center" vertical="center" wrapText="1"/>
    </xf>
    <xf numFmtId="2" fontId="0" fillId="3" borderId="5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textRotation="90" wrapText="1"/>
    </xf>
    <xf numFmtId="0" fontId="0" fillId="3" borderId="2" xfId="0" applyFont="1" applyFill="1" applyBorder="1" applyAlignment="1">
      <alignment textRotation="90"/>
    </xf>
    <xf numFmtId="0" fontId="0" fillId="3" borderId="2" xfId="0" applyFont="1" applyFill="1" applyBorder="1" applyAlignment="1"/>
    <xf numFmtId="2" fontId="0" fillId="3" borderId="2" xfId="0" applyNumberFormat="1" applyFont="1" applyFill="1" applyBorder="1" applyAlignment="1">
      <alignment horizontal="distributed" vertical="justify" wrapText="1"/>
    </xf>
    <xf numFmtId="2" fontId="0" fillId="3" borderId="2" xfId="0" applyNumberFormat="1" applyFont="1" applyFill="1" applyBorder="1" applyAlignment="1">
      <alignment horizontal="distributed" vertical="justify" textRotation="90" wrapText="1"/>
    </xf>
    <xf numFmtId="0" fontId="0" fillId="3" borderId="1" xfId="0" applyFont="1" applyFill="1" applyBorder="1" applyAlignment="1">
      <alignment textRotation="90"/>
    </xf>
    <xf numFmtId="0" fontId="0" fillId="3" borderId="1" xfId="0" applyFont="1" applyFill="1" applyBorder="1" applyAlignment="1">
      <alignment vertical="justify" textRotation="90"/>
    </xf>
    <xf numFmtId="0" fontId="0" fillId="3" borderId="2" xfId="0" applyFont="1" applyFill="1" applyBorder="1" applyAlignment="1">
      <alignment horizontal="center" vertical="justify" textRotation="90" wrapText="1"/>
    </xf>
    <xf numFmtId="0" fontId="0" fillId="3" borderId="2" xfId="0" applyFont="1" applyFill="1" applyBorder="1" applyAlignment="1">
      <alignment horizontal="center" vertical="center" textRotation="90"/>
    </xf>
    <xf numFmtId="2" fontId="0" fillId="3" borderId="2" xfId="0" applyNumberFormat="1" applyFont="1" applyFill="1" applyBorder="1" applyAlignment="1">
      <alignment horizontal="center" vertical="center" textRotation="90"/>
    </xf>
    <xf numFmtId="2" fontId="0" fillId="3" borderId="2" xfId="0" applyNumberFormat="1" applyFont="1" applyFill="1" applyBorder="1" applyAlignment="1">
      <alignment vertical="justify"/>
    </xf>
    <xf numFmtId="0" fontId="0" fillId="3" borderId="2" xfId="0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justify"/>
    </xf>
    <xf numFmtId="4" fontId="0" fillId="3" borderId="2" xfId="0" applyNumberFormat="1" applyFont="1" applyFill="1" applyBorder="1" applyAlignment="1">
      <alignment horizontal="center" wrapText="1"/>
    </xf>
    <xf numFmtId="4" fontId="0" fillId="3" borderId="2" xfId="0" applyNumberFormat="1" applyFont="1" applyFill="1" applyBorder="1" applyAlignment="1"/>
    <xf numFmtId="4" fontId="0" fillId="3" borderId="2" xfId="0" applyNumberFormat="1" applyFont="1" applyFill="1" applyBorder="1" applyAlignment="1">
      <alignment horizontal="distributed" vertical="justify" wrapText="1"/>
    </xf>
    <xf numFmtId="4" fontId="0" fillId="3" borderId="1" xfId="0" applyNumberFormat="1" applyFont="1" applyFill="1" applyBorder="1" applyAlignment="1"/>
    <xf numFmtId="4" fontId="0" fillId="3" borderId="1" xfId="0" applyNumberFormat="1" applyFont="1" applyFill="1" applyBorder="1" applyAlignment="1">
      <alignment vertical="justify"/>
    </xf>
    <xf numFmtId="4" fontId="0" fillId="3" borderId="2" xfId="0" applyNumberFormat="1" applyFont="1" applyFill="1" applyBorder="1" applyAlignment="1">
      <alignment horizontal="center" vertical="justify" wrapText="1"/>
    </xf>
    <xf numFmtId="4" fontId="0" fillId="3" borderId="2" xfId="0" applyNumberFormat="1" applyFont="1" applyFill="1" applyBorder="1" applyAlignment="1">
      <alignment horizontal="center" vertical="center"/>
    </xf>
    <xf numFmtId="4" fontId="0" fillId="3" borderId="2" xfId="0" applyNumberFormat="1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/>
    <xf numFmtId="4" fontId="0" fillId="3" borderId="2" xfId="0" applyNumberFormat="1" applyFont="1" applyFill="1" applyBorder="1" applyAlignment="1">
      <alignment textRotation="90"/>
    </xf>
    <xf numFmtId="4" fontId="0" fillId="3" borderId="1" xfId="0" applyNumberFormat="1" applyFont="1" applyFill="1" applyBorder="1" applyAlignment="1">
      <alignment textRotation="90"/>
    </xf>
    <xf numFmtId="4" fontId="0" fillId="3" borderId="1" xfId="0" applyNumberFormat="1" applyFont="1" applyFill="1" applyBorder="1" applyAlignment="1">
      <alignment vertical="justify" textRotation="90"/>
    </xf>
    <xf numFmtId="4" fontId="0" fillId="3" borderId="2" xfId="0" applyNumberFormat="1" applyFont="1" applyFill="1" applyBorder="1" applyAlignment="1">
      <alignment vertical="justify" textRotation="90"/>
    </xf>
    <xf numFmtId="4" fontId="0" fillId="3" borderId="2" xfId="0" applyNumberFormat="1" applyFont="1" applyFill="1" applyBorder="1" applyAlignment="1">
      <alignment horizontal="center" vertical="justify" textRotation="90" wrapText="1"/>
    </xf>
    <xf numFmtId="4" fontId="0" fillId="3" borderId="2" xfId="0" applyNumberFormat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_ЖЭСК II 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BC63"/>
  <sheetViews>
    <sheetView tabSelected="1" view="pageBreakPreview" zoomScaleSheetLayoutView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Q60" sqref="Q60"/>
    </sheetView>
  </sheetViews>
  <sheetFormatPr defaultRowHeight="13.2"/>
  <cols>
    <col min="1" max="1" width="23" bestFit="1" customWidth="1"/>
    <col min="2" max="2" width="12.5546875" style="64" customWidth="1"/>
    <col min="3" max="3" width="12" style="65" customWidth="1"/>
    <col min="4" max="4" width="12.33203125" style="66" bestFit="1" customWidth="1"/>
    <col min="5" max="10" width="9.5546875" style="67" hidden="1" customWidth="1"/>
    <col min="11" max="11" width="11.33203125" style="67" hidden="1" customWidth="1"/>
    <col min="12" max="15" width="9.5546875" style="67" hidden="1" customWidth="1"/>
    <col min="16" max="16" width="10.5546875" style="67" customWidth="1"/>
    <col min="17" max="17" width="8.109375" style="67" customWidth="1"/>
    <col min="18" max="18" width="10.6640625" style="67" bestFit="1" customWidth="1"/>
    <col min="19" max="19" width="7" style="67" hidden="1" customWidth="1"/>
    <col min="20" max="20" width="12.33203125" style="67" hidden="1" customWidth="1"/>
    <col min="21" max="21" width="8.33203125" style="67" customWidth="1"/>
    <col min="22" max="22" width="10.33203125" style="67" customWidth="1"/>
    <col min="23" max="29" width="9.5546875" style="67" customWidth="1"/>
    <col min="30" max="33" width="11.88671875" style="67" customWidth="1"/>
    <col min="34" max="34" width="9.6640625" style="67" customWidth="1"/>
    <col min="35" max="36" width="11.88671875" style="67" customWidth="1"/>
    <col min="37" max="40" width="10.44140625" style="67" customWidth="1"/>
    <col min="41" max="41" width="11.88671875" style="68" customWidth="1"/>
    <col min="42" max="42" width="14" style="67" customWidth="1"/>
    <col min="43" max="43" width="12.33203125" style="67" hidden="1" customWidth="1"/>
    <col min="44" max="44" width="15.44140625" style="68" bestFit="1" customWidth="1"/>
    <col min="45" max="45" width="14.33203125" style="67" customWidth="1"/>
    <col min="46" max="46" width="10.6640625" style="69" customWidth="1"/>
    <col min="47" max="47" width="11.5546875" style="69" customWidth="1"/>
    <col min="48" max="49" width="13.5546875" style="67" customWidth="1"/>
    <col min="50" max="51" width="13.5546875" style="67" hidden="1" customWidth="1"/>
    <col min="52" max="52" width="12.44140625" style="67" customWidth="1"/>
    <col min="53" max="53" width="14.88671875" customWidth="1"/>
    <col min="54" max="54" width="12.6640625" bestFit="1" customWidth="1"/>
    <col min="55" max="55" width="11.6640625" bestFit="1" customWidth="1"/>
  </cols>
  <sheetData>
    <row r="1" spans="1:55" ht="87.75" customHeight="1">
      <c r="A1" s="8" t="s">
        <v>0</v>
      </c>
      <c r="B1" s="11" t="s">
        <v>63</v>
      </c>
      <c r="C1" s="12" t="s">
        <v>101</v>
      </c>
      <c r="D1" s="13" t="s">
        <v>64</v>
      </c>
      <c r="E1" s="14" t="s">
        <v>68</v>
      </c>
      <c r="F1" s="15"/>
      <c r="G1" s="15"/>
      <c r="H1" s="15"/>
      <c r="I1" s="15"/>
      <c r="J1" s="16"/>
      <c r="K1" s="17" t="s">
        <v>69</v>
      </c>
      <c r="L1" s="14" t="s">
        <v>70</v>
      </c>
      <c r="M1" s="16"/>
      <c r="N1" s="14" t="s">
        <v>71</v>
      </c>
      <c r="O1" s="16"/>
      <c r="P1" s="18" t="s">
        <v>105</v>
      </c>
      <c r="Q1" s="19" t="s">
        <v>2</v>
      </c>
      <c r="R1" s="20"/>
      <c r="S1" s="14" t="s">
        <v>67</v>
      </c>
      <c r="T1" s="15"/>
      <c r="U1" s="21" t="s">
        <v>66</v>
      </c>
      <c r="V1" s="22"/>
      <c r="W1" s="14" t="s">
        <v>127</v>
      </c>
      <c r="X1" s="16"/>
      <c r="Y1" s="23" t="s">
        <v>94</v>
      </c>
      <c r="Z1" s="23" t="s">
        <v>73</v>
      </c>
      <c r="AA1" s="23" t="s">
        <v>74</v>
      </c>
      <c r="AB1" s="21" t="s">
        <v>75</v>
      </c>
      <c r="AC1" s="22"/>
      <c r="AD1" s="24" t="s">
        <v>65</v>
      </c>
      <c r="AE1" s="25" t="s">
        <v>95</v>
      </c>
      <c r="AF1" s="25" t="s">
        <v>102</v>
      </c>
      <c r="AG1" s="26" t="s">
        <v>96</v>
      </c>
      <c r="AH1" s="27" t="s">
        <v>128</v>
      </c>
      <c r="AI1" s="28" t="s">
        <v>76</v>
      </c>
      <c r="AJ1" s="29" t="s">
        <v>106</v>
      </c>
      <c r="AK1" s="28" t="s">
        <v>77</v>
      </c>
      <c r="AL1" s="29" t="s">
        <v>126</v>
      </c>
      <c r="AM1" s="29" t="s">
        <v>109</v>
      </c>
      <c r="AN1" s="29" t="s">
        <v>103</v>
      </c>
      <c r="AO1" s="30" t="s">
        <v>97</v>
      </c>
      <c r="AP1" s="29" t="s">
        <v>78</v>
      </c>
      <c r="AQ1" s="24" t="s">
        <v>3</v>
      </c>
      <c r="AR1" s="31" t="s">
        <v>79</v>
      </c>
      <c r="AS1" s="32" t="s">
        <v>110</v>
      </c>
      <c r="AT1" s="32" t="s">
        <v>99</v>
      </c>
      <c r="AU1" s="32" t="s">
        <v>100</v>
      </c>
      <c r="AV1" s="33" t="s">
        <v>111</v>
      </c>
      <c r="AW1" s="34" t="s">
        <v>129</v>
      </c>
      <c r="AX1" s="34" t="s">
        <v>104</v>
      </c>
      <c r="AY1" s="34" t="s">
        <v>93</v>
      </c>
      <c r="AZ1" s="34" t="s">
        <v>130</v>
      </c>
      <c r="BA1" s="4"/>
      <c r="BB1" s="4"/>
      <c r="BC1" s="4"/>
    </row>
    <row r="2" spans="1:55" ht="99" customHeight="1">
      <c r="A2" s="8"/>
      <c r="B2" s="11"/>
      <c r="C2" s="35"/>
      <c r="D2" s="36"/>
      <c r="E2" s="37" t="s">
        <v>80</v>
      </c>
      <c r="F2" s="37" t="s">
        <v>81</v>
      </c>
      <c r="G2" s="37" t="s">
        <v>82</v>
      </c>
      <c r="H2" s="37" t="s">
        <v>81</v>
      </c>
      <c r="I2" s="37"/>
      <c r="J2" s="37" t="s">
        <v>81</v>
      </c>
      <c r="K2" s="38"/>
      <c r="L2" s="37" t="s">
        <v>83</v>
      </c>
      <c r="M2" s="37" t="s">
        <v>81</v>
      </c>
      <c r="N2" s="37" t="s">
        <v>83</v>
      </c>
      <c r="O2" s="37" t="s">
        <v>81</v>
      </c>
      <c r="P2" s="39"/>
      <c r="Q2" s="40" t="s">
        <v>84</v>
      </c>
      <c r="R2" s="40" t="s">
        <v>85</v>
      </c>
      <c r="S2" s="41" t="s">
        <v>86</v>
      </c>
      <c r="T2" s="41" t="s">
        <v>87</v>
      </c>
      <c r="U2" s="41" t="s">
        <v>88</v>
      </c>
      <c r="V2" s="40" t="s">
        <v>89</v>
      </c>
      <c r="W2" s="37" t="s">
        <v>84</v>
      </c>
      <c r="X2" s="37" t="s">
        <v>81</v>
      </c>
      <c r="Y2" s="37" t="s">
        <v>81</v>
      </c>
      <c r="Z2" s="37" t="s">
        <v>84</v>
      </c>
      <c r="AA2" s="37" t="s">
        <v>81</v>
      </c>
      <c r="AB2" s="37" t="s">
        <v>90</v>
      </c>
      <c r="AC2" s="37" t="s">
        <v>81</v>
      </c>
      <c r="AD2" s="42"/>
      <c r="AE2" s="43"/>
      <c r="AF2" s="43"/>
      <c r="AG2" s="44"/>
      <c r="AH2" s="45"/>
      <c r="AI2" s="45"/>
      <c r="AJ2" s="45"/>
      <c r="AK2" s="46"/>
      <c r="AL2" s="45"/>
      <c r="AM2" s="46"/>
      <c r="AN2" s="46"/>
      <c r="AO2" s="47"/>
      <c r="AP2" s="46"/>
      <c r="AQ2" s="42"/>
      <c r="AR2" s="48"/>
      <c r="AS2" s="49"/>
      <c r="AT2" s="50"/>
      <c r="AU2" s="50"/>
      <c r="AV2" s="51"/>
      <c r="AW2" s="34"/>
      <c r="AX2" s="34"/>
      <c r="AY2" s="34"/>
      <c r="AZ2" s="34"/>
      <c r="BA2" s="4"/>
      <c r="BB2" s="4"/>
      <c r="BC2" s="4"/>
    </row>
    <row r="3" spans="1:55">
      <c r="A3" s="1" t="s">
        <v>4</v>
      </c>
      <c r="B3" s="52">
        <v>2387.8000000000002</v>
      </c>
      <c r="C3" s="53">
        <v>63064.663105925058</v>
      </c>
      <c r="D3" s="54">
        <v>37526.000404895603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>
        <v>3492.4157962613713</v>
      </c>
      <c r="Q3" s="56"/>
      <c r="R3" s="55"/>
      <c r="S3" s="55"/>
      <c r="T3" s="55"/>
      <c r="U3" s="55">
        <v>104</v>
      </c>
      <c r="V3" s="55">
        <v>20800</v>
      </c>
      <c r="W3" s="55"/>
      <c r="X3" s="55"/>
      <c r="Y3" s="55"/>
      <c r="Z3" s="55"/>
      <c r="AA3" s="55"/>
      <c r="AB3" s="55"/>
      <c r="AC3" s="55"/>
      <c r="AD3" s="55">
        <v>77340.56</v>
      </c>
      <c r="AE3" s="55">
        <v>39540.480000000003</v>
      </c>
      <c r="AF3" s="55">
        <v>22706.497574076177</v>
      </c>
      <c r="AG3" s="55"/>
      <c r="AH3" s="55">
        <v>722.16</v>
      </c>
      <c r="AI3" s="55">
        <v>183184.32</v>
      </c>
      <c r="AJ3" s="57"/>
      <c r="AK3" s="57"/>
      <c r="AL3" s="57">
        <v>7290.18</v>
      </c>
      <c r="AM3" s="57">
        <v>1730.52</v>
      </c>
      <c r="AN3" s="57">
        <v>39472.019999999997</v>
      </c>
      <c r="AO3" s="55">
        <v>11433.193849263927</v>
      </c>
      <c r="AP3" s="55">
        <v>83066.933772393895</v>
      </c>
      <c r="AQ3" s="55"/>
      <c r="AR3" s="55">
        <f t="shared" ref="AR3:AR34" si="0">C3+D3+P3+R3+V3+AC3+X3+AD3+AE3+AF3+AG3+AH3+AI3+AJ3+AK3+AL3+AM3+AN3+AO3+AP3</f>
        <v>591369.94450281607</v>
      </c>
      <c r="AS3" s="9">
        <v>621398.52</v>
      </c>
      <c r="AT3" s="10"/>
      <c r="AU3" s="10"/>
      <c r="AV3" s="9">
        <v>629159.86</v>
      </c>
      <c r="AW3" s="9">
        <f>AZ3+AS3-AV3</f>
        <v>9068.3600000002189</v>
      </c>
      <c r="AX3" s="9">
        <f>AY3+AV3-AR3</f>
        <v>-18191.69450281607</v>
      </c>
      <c r="AY3" s="9">
        <v>-55981.61</v>
      </c>
      <c r="AZ3" s="9">
        <v>16829.700000000186</v>
      </c>
      <c r="BA3" s="5"/>
      <c r="BB3" s="5"/>
      <c r="BC3" s="5"/>
    </row>
    <row r="4" spans="1:55">
      <c r="A4" s="1" t="s">
        <v>60</v>
      </c>
      <c r="B4" s="55">
        <v>2147.3000000000002</v>
      </c>
      <c r="C4" s="53">
        <v>58092.687946843485</v>
      </c>
      <c r="D4" s="54">
        <v>33746.36932298867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>
        <v>3308.9712640556331</v>
      </c>
      <c r="Q4" s="56"/>
      <c r="R4" s="55"/>
      <c r="S4" s="55"/>
      <c r="T4" s="55"/>
      <c r="U4" s="55">
        <v>69</v>
      </c>
      <c r="V4" s="55">
        <v>20050</v>
      </c>
      <c r="W4" s="55"/>
      <c r="X4" s="55"/>
      <c r="Y4" s="55"/>
      <c r="Z4" s="55"/>
      <c r="AA4" s="55"/>
      <c r="AB4" s="55"/>
      <c r="AC4" s="55"/>
      <c r="AD4" s="55">
        <v>67505.440000000002</v>
      </c>
      <c r="AE4" s="55">
        <v>34606.080000000002</v>
      </c>
      <c r="AF4" s="55">
        <v>20580.321324438304</v>
      </c>
      <c r="AG4" s="55"/>
      <c r="AH4" s="55">
        <v>440.37599999999998</v>
      </c>
      <c r="AI4" s="55">
        <v>160973.51999999999</v>
      </c>
      <c r="AJ4" s="57"/>
      <c r="AK4" s="57"/>
      <c r="AL4" s="57">
        <v>8236.02</v>
      </c>
      <c r="AM4" s="57">
        <v>1950.96</v>
      </c>
      <c r="AN4" s="57">
        <v>52110.36</v>
      </c>
      <c r="AO4" s="55">
        <v>10386.555702539757</v>
      </c>
      <c r="AP4" s="55">
        <v>75500.404928998003</v>
      </c>
      <c r="AQ4" s="55"/>
      <c r="AR4" s="55">
        <f t="shared" si="0"/>
        <v>547488.06648986379</v>
      </c>
      <c r="AS4" s="9">
        <v>564354.09000000008</v>
      </c>
      <c r="AT4" s="10">
        <v>703.17</v>
      </c>
      <c r="AU4" s="10"/>
      <c r="AV4" s="9">
        <v>550392.49</v>
      </c>
      <c r="AW4" s="9">
        <f>AZ4+AS4-AV4</f>
        <v>139937.07000000007</v>
      </c>
      <c r="AX4" s="9">
        <f t="shared" ref="AX4:AX62" si="1">AY4+AV4-AR4</f>
        <v>89423.283510136185</v>
      </c>
      <c r="AY4" s="9">
        <v>86518.86</v>
      </c>
      <c r="AZ4" s="9">
        <v>125975.46999999997</v>
      </c>
      <c r="BA4" s="5"/>
      <c r="BB4" s="5"/>
      <c r="BC4" s="5"/>
    </row>
    <row r="5" spans="1:55">
      <c r="A5" s="1" t="s">
        <v>5</v>
      </c>
      <c r="B5" s="55">
        <v>2554.1</v>
      </c>
      <c r="C5" s="53">
        <v>64305.187196466693</v>
      </c>
      <c r="D5" s="54">
        <v>40139.524932634165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>
        <v>0</v>
      </c>
      <c r="Q5" s="58"/>
      <c r="R5" s="55"/>
      <c r="S5" s="55"/>
      <c r="T5" s="55"/>
      <c r="U5" s="55">
        <v>133</v>
      </c>
      <c r="V5" s="55">
        <v>41600</v>
      </c>
      <c r="W5" s="55"/>
      <c r="X5" s="55"/>
      <c r="Y5" s="55"/>
      <c r="Z5" s="55"/>
      <c r="AA5" s="55"/>
      <c r="AB5" s="55"/>
      <c r="AC5" s="55"/>
      <c r="AD5" s="55">
        <v>81201.55</v>
      </c>
      <c r="AE5" s="55">
        <v>37653.120000000003</v>
      </c>
      <c r="AF5" s="55">
        <v>24214.488607734296</v>
      </c>
      <c r="AG5" s="55"/>
      <c r="AH5" s="55">
        <v>438.96</v>
      </c>
      <c r="AI5" s="55">
        <v>184807.8</v>
      </c>
      <c r="AJ5" s="57"/>
      <c r="AK5" s="57"/>
      <c r="AL5" s="57">
        <f>8472.66+513.66</f>
        <v>8986.32</v>
      </c>
      <c r="AM5" s="57">
        <f>2000.4+121.6</f>
        <v>2122</v>
      </c>
      <c r="AN5" s="57">
        <v>24803.83</v>
      </c>
      <c r="AO5" s="55">
        <v>11837.998434711866</v>
      </c>
      <c r="AP5" s="55">
        <v>91128.818436247268</v>
      </c>
      <c r="AQ5" s="55"/>
      <c r="AR5" s="55">
        <f t="shared" si="0"/>
        <v>613239.59760779433</v>
      </c>
      <c r="AS5" s="9">
        <v>616946.65999999992</v>
      </c>
      <c r="AT5" s="10">
        <v>1366.19</v>
      </c>
      <c r="AU5" s="10"/>
      <c r="AV5" s="9">
        <v>583556.87999999989</v>
      </c>
      <c r="AW5" s="9">
        <f t="shared" ref="AW5:AW62" si="2">AZ5+AS5-AV5</f>
        <v>114312.30000000016</v>
      </c>
      <c r="AX5" s="9">
        <f t="shared" si="1"/>
        <v>-28184.517607794493</v>
      </c>
      <c r="AY5" s="9">
        <v>1498.2</v>
      </c>
      <c r="AZ5" s="9">
        <v>80922.520000000135</v>
      </c>
      <c r="BA5" s="5"/>
      <c r="BB5" s="5"/>
      <c r="BC5" s="5"/>
    </row>
    <row r="6" spans="1:55" s="7" customFormat="1">
      <c r="A6" s="3" t="s">
        <v>6</v>
      </c>
      <c r="B6" s="55">
        <v>5632.3</v>
      </c>
      <c r="C6" s="53">
        <v>359024.00433311908</v>
      </c>
      <c r="D6" s="54">
        <v>88515.659636692159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>
        <v>68219.198823657702</v>
      </c>
      <c r="Q6" s="58"/>
      <c r="R6" s="55"/>
      <c r="S6" s="55"/>
      <c r="T6" s="55"/>
      <c r="U6" s="55">
        <v>20</v>
      </c>
      <c r="V6" s="55">
        <v>8000</v>
      </c>
      <c r="W6" s="55"/>
      <c r="X6" s="55"/>
      <c r="Y6" s="55"/>
      <c r="Z6" s="55"/>
      <c r="AA6" s="55"/>
      <c r="AB6" s="55"/>
      <c r="AC6" s="55"/>
      <c r="AD6" s="55">
        <v>176739.46</v>
      </c>
      <c r="AE6" s="55">
        <f>78045.43+2173.6+56400</f>
        <v>136619.03</v>
      </c>
      <c r="AF6" s="55">
        <v>52455.75317470025</v>
      </c>
      <c r="AG6" s="55"/>
      <c r="AH6" s="55">
        <v>2152.3200000000002</v>
      </c>
      <c r="AI6" s="55">
        <v>353456.45</v>
      </c>
      <c r="AJ6" s="57">
        <v>36699.22</v>
      </c>
      <c r="AK6" s="57"/>
      <c r="AL6" s="57">
        <f>10048.77+104.88</f>
        <v>10153.65</v>
      </c>
      <c r="AM6" s="57">
        <f>2403.6+25.08</f>
        <v>2428.6799999999998</v>
      </c>
      <c r="AN6" s="57">
        <v>67228.490000000005</v>
      </c>
      <c r="AO6" s="55">
        <v>25295.355042804764</v>
      </c>
      <c r="AP6" s="55">
        <v>238085.29001937102</v>
      </c>
      <c r="AQ6" s="55"/>
      <c r="AR6" s="55">
        <f t="shared" si="0"/>
        <v>1625072.5610303448</v>
      </c>
      <c r="AS6" s="9">
        <v>1317198.1300000001</v>
      </c>
      <c r="AT6" s="10">
        <f>25588.41+797.55</f>
        <v>26385.96</v>
      </c>
      <c r="AU6" s="10"/>
      <c r="AV6" s="9">
        <v>1424106.97</v>
      </c>
      <c r="AW6" s="9">
        <f t="shared" si="2"/>
        <v>287892.21000000066</v>
      </c>
      <c r="AX6" s="9">
        <f>AY6+AV6-AR6</f>
        <v>-182760.65103034489</v>
      </c>
      <c r="AY6" s="9">
        <v>18204.939999999999</v>
      </c>
      <c r="AZ6" s="9">
        <v>394801.05000000051</v>
      </c>
      <c r="BA6" s="6"/>
      <c r="BB6" s="6"/>
      <c r="BC6" s="6"/>
    </row>
    <row r="7" spans="1:55">
      <c r="A7" s="1" t="s">
        <v>7</v>
      </c>
      <c r="B7" s="55">
        <v>6162.8</v>
      </c>
      <c r="C7" s="53">
        <v>183358.28730024077</v>
      </c>
      <c r="D7" s="54">
        <v>96852.850027343433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>
        <v>69948.208664744001</v>
      </c>
      <c r="Q7" s="58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>
        <v>194462.19</v>
      </c>
      <c r="AE7" s="55">
        <v>108762.24000000001</v>
      </c>
      <c r="AF7" s="55">
        <v>58458.299202695649</v>
      </c>
      <c r="AG7" s="55"/>
      <c r="AH7" s="55">
        <f>1995.144+2400</f>
        <v>4395.1440000000002</v>
      </c>
      <c r="AI7" s="55"/>
      <c r="AJ7" s="57"/>
      <c r="AK7" s="57"/>
      <c r="AL7" s="57">
        <v>15293.46</v>
      </c>
      <c r="AM7" s="57">
        <v>4078.08</v>
      </c>
      <c r="AN7" s="57">
        <v>28735.98</v>
      </c>
      <c r="AO7" s="55">
        <v>25971.56465543334</v>
      </c>
      <c r="AP7" s="55">
        <v>228836.44676124846</v>
      </c>
      <c r="AQ7" s="55"/>
      <c r="AR7" s="55">
        <f t="shared" si="0"/>
        <v>1019152.7506117055</v>
      </c>
      <c r="AS7" s="9">
        <v>1119300.68</v>
      </c>
      <c r="AT7" s="10">
        <v>700</v>
      </c>
      <c r="AU7" s="10"/>
      <c r="AV7" s="9">
        <v>1127910.8799999999</v>
      </c>
      <c r="AW7" s="9">
        <f t="shared" si="2"/>
        <v>139972.27000000002</v>
      </c>
      <c r="AX7" s="9">
        <f t="shared" si="1"/>
        <v>138539.08938829438</v>
      </c>
      <c r="AY7" s="9">
        <v>29780.959999999999</v>
      </c>
      <c r="AZ7" s="9">
        <v>148582.46999999997</v>
      </c>
      <c r="BA7" s="5"/>
      <c r="BB7" s="5"/>
      <c r="BC7" s="5"/>
    </row>
    <row r="8" spans="1:55">
      <c r="A8" s="1" t="s">
        <v>8</v>
      </c>
      <c r="B8" s="55">
        <v>3219.8</v>
      </c>
      <c r="C8" s="53">
        <v>130464.97920761266</v>
      </c>
      <c r="D8" s="54">
        <v>50601.480904465556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>
        <v>0</v>
      </c>
      <c r="Q8" s="70">
        <v>240</v>
      </c>
      <c r="R8" s="55">
        <v>42772.14</v>
      </c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>
        <v>102466.19</v>
      </c>
      <c r="AE8" s="55">
        <v>52108.800000000003</v>
      </c>
      <c r="AF8" s="55">
        <v>30702.750913363965</v>
      </c>
      <c r="AG8" s="55"/>
      <c r="AH8" s="55">
        <v>1305.5519999999999</v>
      </c>
      <c r="AI8" s="55"/>
      <c r="AJ8" s="57">
        <v>27357.48</v>
      </c>
      <c r="AK8" s="57"/>
      <c r="AL8" s="57">
        <v>6676.62</v>
      </c>
      <c r="AM8" s="57">
        <v>1630.68</v>
      </c>
      <c r="AN8" s="57">
        <v>13806.92</v>
      </c>
      <c r="AO8" s="55">
        <v>13293.530951444842</v>
      </c>
      <c r="AP8" s="55">
        <v>119213.49112252025</v>
      </c>
      <c r="AQ8" s="55"/>
      <c r="AR8" s="55">
        <f t="shared" si="0"/>
        <v>592400.61509940727</v>
      </c>
      <c r="AS8" s="9">
        <v>563069.78</v>
      </c>
      <c r="AT8" s="10"/>
      <c r="AU8" s="10"/>
      <c r="AV8" s="9">
        <v>592966.41</v>
      </c>
      <c r="AW8" s="9">
        <f t="shared" si="2"/>
        <v>25833.149999999907</v>
      </c>
      <c r="AX8" s="9">
        <f t="shared" si="1"/>
        <v>57346.564900592784</v>
      </c>
      <c r="AY8" s="9">
        <v>56780.77</v>
      </c>
      <c r="AZ8" s="9">
        <v>55729.779999999912</v>
      </c>
      <c r="BA8" s="5"/>
      <c r="BB8" s="5"/>
      <c r="BC8" s="5"/>
    </row>
    <row r="9" spans="1:55">
      <c r="A9" s="1" t="s">
        <v>9</v>
      </c>
      <c r="B9" s="55">
        <v>11172.9</v>
      </c>
      <c r="C9" s="53">
        <v>344008.60268341989</v>
      </c>
      <c r="D9" s="54">
        <v>175590.18758851581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>
        <v>133238.07729212666</v>
      </c>
      <c r="Q9" s="70">
        <v>92</v>
      </c>
      <c r="R9" s="55">
        <v>16894.46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>
        <v>352789.97</v>
      </c>
      <c r="AE9" s="55">
        <v>192560.64000000001</v>
      </c>
      <c r="AF9" s="55">
        <v>112535.95782543105</v>
      </c>
      <c r="AG9" s="55">
        <f>149772.22</f>
        <v>149772.22</v>
      </c>
      <c r="AH9" s="55">
        <v>3750.9839999999999</v>
      </c>
      <c r="AI9" s="55"/>
      <c r="AJ9" s="57"/>
      <c r="AK9" s="57"/>
      <c r="AL9" s="57">
        <v>25803.64</v>
      </c>
      <c r="AM9" s="57">
        <v>6604.62</v>
      </c>
      <c r="AN9" s="57">
        <v>9825.67</v>
      </c>
      <c r="AO9" s="55">
        <v>46684.250401390789</v>
      </c>
      <c r="AP9" s="55">
        <v>409920.46477911872</v>
      </c>
      <c r="AQ9" s="55"/>
      <c r="AR9" s="55">
        <f t="shared" si="0"/>
        <v>1979979.7445700029</v>
      </c>
      <c r="AS9" s="9">
        <v>1934793.75</v>
      </c>
      <c r="AT9" s="10"/>
      <c r="AU9" s="10"/>
      <c r="AV9" s="9">
        <v>1937117.2999999998</v>
      </c>
      <c r="AW9" s="9">
        <f t="shared" si="2"/>
        <v>332976.91999999993</v>
      </c>
      <c r="AX9" s="9">
        <f>AY9+AV9-AR9</f>
        <v>1287266.8154299967</v>
      </c>
      <c r="AY9" s="9">
        <v>1330129.26</v>
      </c>
      <c r="AZ9" s="9">
        <v>335300.46999999974</v>
      </c>
      <c r="BA9" s="5"/>
      <c r="BB9" s="5"/>
      <c r="BC9" s="5"/>
    </row>
    <row r="10" spans="1:55">
      <c r="A10" s="1" t="s">
        <v>10</v>
      </c>
      <c r="B10" s="55">
        <v>8825.2999999999993</v>
      </c>
      <c r="C10" s="53">
        <v>279902.52911543695</v>
      </c>
      <c r="D10" s="54">
        <v>138695.95919814269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>
        <v>95712.544457000913</v>
      </c>
      <c r="Q10" s="70">
        <v>110</v>
      </c>
      <c r="R10" s="55">
        <v>20299.77</v>
      </c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>
        <v>277641.81</v>
      </c>
      <c r="AE10" s="55">
        <v>152092.79999999999</v>
      </c>
      <c r="AF10" s="55">
        <v>89865.480896372959</v>
      </c>
      <c r="AG10" s="55">
        <f>1400+150221.72</f>
        <v>151621.72</v>
      </c>
      <c r="AH10" s="55">
        <f>2987.76+2400</f>
        <v>5387.76</v>
      </c>
      <c r="AI10" s="55"/>
      <c r="AJ10" s="57"/>
      <c r="AK10" s="57"/>
      <c r="AL10" s="57">
        <f>22339.46+388.92</f>
        <v>22728.379999999997</v>
      </c>
      <c r="AM10" s="57">
        <f>5703.72+99.24</f>
        <v>5802.96</v>
      </c>
      <c r="AN10" s="57">
        <v>56772.66</v>
      </c>
      <c r="AO10" s="55">
        <v>36907.516217400502</v>
      </c>
      <c r="AP10" s="55">
        <v>314191.53108782467</v>
      </c>
      <c r="AQ10" s="55"/>
      <c r="AR10" s="55">
        <f t="shared" si="0"/>
        <v>1647623.4209721785</v>
      </c>
      <c r="AS10" s="9">
        <v>1604858.5</v>
      </c>
      <c r="AT10" s="10">
        <v>2000</v>
      </c>
      <c r="AU10" s="10"/>
      <c r="AV10" s="9">
        <v>1588736.96</v>
      </c>
      <c r="AW10" s="9">
        <f t="shared" si="2"/>
        <v>260753.44999999972</v>
      </c>
      <c r="AX10" s="9">
        <f t="shared" si="1"/>
        <v>-60800.470972178504</v>
      </c>
      <c r="AY10" s="9">
        <v>-1914.01</v>
      </c>
      <c r="AZ10" s="9">
        <v>244631.90999999968</v>
      </c>
      <c r="BA10" s="5"/>
      <c r="BB10" s="5"/>
      <c r="BC10" s="5"/>
    </row>
    <row r="11" spans="1:55">
      <c r="A11" s="1" t="s">
        <v>11</v>
      </c>
      <c r="B11" s="55">
        <v>8736.1</v>
      </c>
      <c r="C11" s="53">
        <v>276905.40977751568</v>
      </c>
      <c r="D11" s="54">
        <v>137294.11681765999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>
        <v>104287.27659851854</v>
      </c>
      <c r="Q11" s="70">
        <v>73</v>
      </c>
      <c r="R11" s="55">
        <v>13347.57</v>
      </c>
      <c r="S11" s="55"/>
      <c r="T11" s="55"/>
      <c r="U11" s="55">
        <v>12</v>
      </c>
      <c r="V11" s="55">
        <v>2400</v>
      </c>
      <c r="W11" s="55"/>
      <c r="X11" s="55"/>
      <c r="Y11" s="55"/>
      <c r="Z11" s="55"/>
      <c r="AA11" s="55"/>
      <c r="AB11" s="55"/>
      <c r="AC11" s="55"/>
      <c r="AD11" s="55">
        <v>275793.62</v>
      </c>
      <c r="AE11" s="55">
        <v>151276.79999999999</v>
      </c>
      <c r="AF11" s="55">
        <v>87857.610297724474</v>
      </c>
      <c r="AG11" s="55">
        <v>3825</v>
      </c>
      <c r="AH11" s="55">
        <v>2963.6880000000001</v>
      </c>
      <c r="AI11" s="55"/>
      <c r="AJ11" s="57"/>
      <c r="AK11" s="57"/>
      <c r="AL11" s="57">
        <f>21277.92+351.3</f>
        <v>21629.219999999998</v>
      </c>
      <c r="AM11" s="57">
        <f>5673.12+92.2</f>
        <v>5765.32</v>
      </c>
      <c r="AN11" s="57">
        <v>33923.39</v>
      </c>
      <c r="AO11" s="55">
        <v>36801.267407887848</v>
      </c>
      <c r="AP11" s="55">
        <v>314535.09598249866</v>
      </c>
      <c r="AQ11" s="55"/>
      <c r="AR11" s="55">
        <f t="shared" si="0"/>
        <v>1468605.3848818052</v>
      </c>
      <c r="AS11" s="9">
        <v>1575607.1599999997</v>
      </c>
      <c r="AT11" s="10"/>
      <c r="AU11" s="10"/>
      <c r="AV11" s="9">
        <v>1510587.6399999997</v>
      </c>
      <c r="AW11" s="9">
        <f t="shared" si="2"/>
        <v>407971.2899999998</v>
      </c>
      <c r="AX11" s="9">
        <f t="shared" si="1"/>
        <v>248186.55511819455</v>
      </c>
      <c r="AY11" s="9">
        <v>206204.3</v>
      </c>
      <c r="AZ11" s="9">
        <v>342951.76999999979</v>
      </c>
      <c r="BA11" s="5"/>
      <c r="BB11" s="5"/>
      <c r="BC11" s="5"/>
    </row>
    <row r="12" spans="1:55">
      <c r="A12" s="1" t="s">
        <v>1</v>
      </c>
      <c r="B12" s="55">
        <v>20176.3</v>
      </c>
      <c r="C12" s="53">
        <v>692323.29124531196</v>
      </c>
      <c r="D12" s="54">
        <v>317085.11683109775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>
        <v>260181.49598248754</v>
      </c>
      <c r="Q12" s="70">
        <v>160</v>
      </c>
      <c r="R12" s="55">
        <v>28380.13</v>
      </c>
      <c r="S12" s="55"/>
      <c r="T12" s="55"/>
      <c r="U12" s="55"/>
      <c r="V12" s="9"/>
      <c r="W12" s="55"/>
      <c r="X12" s="55"/>
      <c r="Y12" s="55"/>
      <c r="Z12" s="55"/>
      <c r="AA12" s="55"/>
      <c r="AB12" s="55"/>
      <c r="AC12" s="55"/>
      <c r="AD12" s="55">
        <v>636132.4</v>
      </c>
      <c r="AE12" s="55">
        <v>350090.69</v>
      </c>
      <c r="AF12" s="55">
        <v>201295.12862474678</v>
      </c>
      <c r="AG12" s="55">
        <v>1242</v>
      </c>
      <c r="AH12" s="55">
        <v>6431.4719999999998</v>
      </c>
      <c r="AI12" s="55"/>
      <c r="AJ12" s="57"/>
      <c r="AK12" s="57"/>
      <c r="AL12" s="57">
        <f>49231.14+1195.8</f>
        <v>50426.94</v>
      </c>
      <c r="AM12" s="57">
        <f>13127.34+320.52</f>
        <v>13447.86</v>
      </c>
      <c r="AN12" s="57">
        <v>83542.850000000006</v>
      </c>
      <c r="AO12" s="55">
        <v>84341.485732851899</v>
      </c>
      <c r="AP12" s="55">
        <v>715023.62965907983</v>
      </c>
      <c r="AQ12" s="55"/>
      <c r="AR12" s="55">
        <f t="shared" si="0"/>
        <v>3439944.4900755757</v>
      </c>
      <c r="AS12" s="9">
        <v>3615066.48</v>
      </c>
      <c r="AT12" s="10">
        <v>27502.080000000002</v>
      </c>
      <c r="AU12" s="10"/>
      <c r="AV12" s="9">
        <v>3511011.55</v>
      </c>
      <c r="AW12" s="9">
        <f t="shared" si="2"/>
        <v>551975.46000000089</v>
      </c>
      <c r="AX12" s="9">
        <f t="shared" si="1"/>
        <v>41073.639924424235</v>
      </c>
      <c r="AY12" s="9">
        <v>-29993.42</v>
      </c>
      <c r="AZ12" s="9">
        <v>447920.53000000073</v>
      </c>
      <c r="BA12" s="5"/>
      <c r="BB12" s="5"/>
      <c r="BC12" s="5"/>
    </row>
    <row r="13" spans="1:55">
      <c r="A13" s="1" t="s">
        <v>12</v>
      </c>
      <c r="B13" s="55">
        <v>4627.8</v>
      </c>
      <c r="C13" s="53">
        <v>145260.79393354553</v>
      </c>
      <c r="D13" s="54">
        <v>72729.217134507024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>
        <v>76680.80288704847</v>
      </c>
      <c r="Q13" s="70">
        <v>150</v>
      </c>
      <c r="R13" s="55">
        <v>28328.81</v>
      </c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>
        <v>170315.58</v>
      </c>
      <c r="AE13" s="55">
        <v>80551.679999999993</v>
      </c>
      <c r="AF13" s="55">
        <v>46612.228467872825</v>
      </c>
      <c r="AG13" s="55"/>
      <c r="AH13" s="55">
        <f>1492.464+2100</f>
        <v>3592.4639999999999</v>
      </c>
      <c r="AI13" s="55"/>
      <c r="AJ13" s="57"/>
      <c r="AK13" s="57"/>
      <c r="AL13" s="57">
        <f>10831.76+159.18</f>
        <v>10990.94</v>
      </c>
      <c r="AM13" s="57">
        <f>2772.52+40.74</f>
        <v>2813.2599999999998</v>
      </c>
      <c r="AN13" s="57">
        <v>20627.98</v>
      </c>
      <c r="AO13" s="55">
        <v>19354.187585904849</v>
      </c>
      <c r="AP13" s="55">
        <v>164664.52202273408</v>
      </c>
      <c r="AQ13" s="55"/>
      <c r="AR13" s="55">
        <f t="shared" si="0"/>
        <v>842522.46603161271</v>
      </c>
      <c r="AS13" s="9">
        <v>836492.62</v>
      </c>
      <c r="AT13" s="10">
        <v>4500</v>
      </c>
      <c r="AU13" s="10"/>
      <c r="AV13" s="9">
        <v>815727.1</v>
      </c>
      <c r="AW13" s="9">
        <f t="shared" si="2"/>
        <v>89232.500000000116</v>
      </c>
      <c r="AX13" s="9">
        <f t="shared" si="1"/>
        <v>-85986.616031612735</v>
      </c>
      <c r="AY13" s="9">
        <v>-59191.25</v>
      </c>
      <c r="AZ13" s="9">
        <v>68466.980000000098</v>
      </c>
      <c r="BA13" s="5"/>
      <c r="BB13" s="5"/>
      <c r="BC13" s="5"/>
    </row>
    <row r="14" spans="1:55">
      <c r="A14" s="1" t="s">
        <v>13</v>
      </c>
      <c r="B14" s="55">
        <v>2410.1</v>
      </c>
      <c r="C14" s="53">
        <v>85393.430890405376</v>
      </c>
      <c r="D14" s="54">
        <v>37876.461000016287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>
        <v>0</v>
      </c>
      <c r="Q14" s="70"/>
      <c r="R14" s="55"/>
      <c r="S14" s="55"/>
      <c r="T14" s="55"/>
      <c r="U14" s="55">
        <v>18</v>
      </c>
      <c r="V14" s="55">
        <v>3600</v>
      </c>
      <c r="W14" s="55"/>
      <c r="X14" s="55"/>
      <c r="Y14" s="55"/>
      <c r="Z14" s="55"/>
      <c r="AA14" s="55"/>
      <c r="AB14" s="55"/>
      <c r="AC14" s="55"/>
      <c r="AD14" s="55">
        <v>76300.740000000005</v>
      </c>
      <c r="AE14" s="55">
        <f>44371.24+1086.74+28200</f>
        <v>73657.98</v>
      </c>
      <c r="AF14" s="55">
        <v>24350.380378182868</v>
      </c>
      <c r="AG14" s="55"/>
      <c r="AH14" s="55">
        <f>461.616+4344</f>
        <v>4805.616</v>
      </c>
      <c r="AI14" s="55">
        <v>183732.12</v>
      </c>
      <c r="AJ14" s="57"/>
      <c r="AK14" s="57"/>
      <c r="AL14" s="57">
        <v>8925.24</v>
      </c>
      <c r="AM14" s="57">
        <v>2107.1999999999998</v>
      </c>
      <c r="AN14" s="57">
        <v>42072.81</v>
      </c>
      <c r="AO14" s="55">
        <v>11966.916051642092</v>
      </c>
      <c r="AP14" s="55">
        <v>85575.3275487254</v>
      </c>
      <c r="AQ14" s="55"/>
      <c r="AR14" s="55">
        <f t="shared" si="0"/>
        <v>640364.22186897194</v>
      </c>
      <c r="AS14" s="9">
        <v>675862.29</v>
      </c>
      <c r="AT14" s="10"/>
      <c r="AU14" s="10"/>
      <c r="AV14" s="9">
        <v>680331.89999999991</v>
      </c>
      <c r="AW14" s="9">
        <f t="shared" si="2"/>
        <v>19766.099999999977</v>
      </c>
      <c r="AX14" s="9">
        <f t="shared" si="1"/>
        <v>31888.75813102792</v>
      </c>
      <c r="AY14" s="9">
        <v>-8078.92</v>
      </c>
      <c r="AZ14" s="9">
        <v>24235.709999999846</v>
      </c>
      <c r="BA14" s="5"/>
      <c r="BB14" s="5"/>
      <c r="BC14" s="5"/>
    </row>
    <row r="15" spans="1:55">
      <c r="A15" s="1" t="s">
        <v>14</v>
      </c>
      <c r="B15" s="55">
        <v>2398</v>
      </c>
      <c r="C15" s="53">
        <v>73303.053505104399</v>
      </c>
      <c r="D15" s="54">
        <v>37686.300766789369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>
        <v>0</v>
      </c>
      <c r="Q15" s="70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>
        <v>75343.22</v>
      </c>
      <c r="AE15" s="55">
        <f>44276.72+1086.74+28200</f>
        <v>73563.459999999992</v>
      </c>
      <c r="AF15" s="55">
        <v>24165.671500563512</v>
      </c>
      <c r="AG15" s="55"/>
      <c r="AH15" s="55">
        <v>468.69600000000003</v>
      </c>
      <c r="AI15" s="55">
        <v>183747.89</v>
      </c>
      <c r="AJ15" s="57"/>
      <c r="AK15" s="57"/>
      <c r="AL15" s="57">
        <v>8424.52</v>
      </c>
      <c r="AM15" s="57">
        <v>1981.42</v>
      </c>
      <c r="AN15" s="57">
        <v>52541.14</v>
      </c>
      <c r="AO15" s="55">
        <v>11978.503018064701</v>
      </c>
      <c r="AP15" s="55">
        <v>89524.522001926685</v>
      </c>
      <c r="AQ15" s="55"/>
      <c r="AR15" s="55">
        <f t="shared" si="0"/>
        <v>632728.39679244859</v>
      </c>
      <c r="AS15" s="9">
        <v>685454.46</v>
      </c>
      <c r="AT15" s="10"/>
      <c r="AU15" s="10"/>
      <c r="AV15" s="9">
        <v>695647.20000000007</v>
      </c>
      <c r="AW15" s="9">
        <f t="shared" si="2"/>
        <v>37537.020000000135</v>
      </c>
      <c r="AX15" s="9">
        <f t="shared" si="1"/>
        <v>8617.2632075514412</v>
      </c>
      <c r="AY15" s="9">
        <v>-54301.54</v>
      </c>
      <c r="AZ15" s="9">
        <v>47729.760000000242</v>
      </c>
      <c r="BA15" s="5"/>
      <c r="BB15" s="5"/>
      <c r="BC15" s="5"/>
    </row>
    <row r="16" spans="1:55">
      <c r="A16" s="1" t="s">
        <v>17</v>
      </c>
      <c r="B16" s="55">
        <v>2424</v>
      </c>
      <c r="C16" s="53">
        <v>69602.834452032141</v>
      </c>
      <c r="D16" s="54">
        <v>38094.909532400925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>
        <v>27642.451526471647</v>
      </c>
      <c r="Q16" s="70"/>
      <c r="R16" s="55"/>
      <c r="S16" s="55"/>
      <c r="T16" s="55"/>
      <c r="U16" s="55">
        <v>45</v>
      </c>
      <c r="V16" s="55">
        <v>20250</v>
      </c>
      <c r="W16" s="55">
        <v>18</v>
      </c>
      <c r="X16" s="55">
        <v>13500</v>
      </c>
      <c r="Y16" s="55"/>
      <c r="Z16" s="55"/>
      <c r="AA16" s="55"/>
      <c r="AB16" s="55"/>
      <c r="AC16" s="55"/>
      <c r="AD16" s="55">
        <v>75854.759999999995</v>
      </c>
      <c r="AE16" s="55">
        <f>44607.52+1086.74+28200</f>
        <v>73894.259999999995</v>
      </c>
      <c r="AF16" s="55">
        <v>24445.384397927421</v>
      </c>
      <c r="AG16" s="55"/>
      <c r="AH16" s="55">
        <v>420.55200000000002</v>
      </c>
      <c r="AI16" s="55">
        <v>184777.92</v>
      </c>
      <c r="AJ16" s="57"/>
      <c r="AK16" s="57"/>
      <c r="AL16" s="57">
        <v>8847.5400000000009</v>
      </c>
      <c r="AM16" s="57">
        <v>2118.66</v>
      </c>
      <c r="AN16" s="57">
        <v>37667.46</v>
      </c>
      <c r="AO16" s="55">
        <v>12038.850115007855</v>
      </c>
      <c r="AP16" s="55">
        <v>88166.251606618142</v>
      </c>
      <c r="AQ16" s="55"/>
      <c r="AR16" s="55">
        <f t="shared" si="0"/>
        <v>677321.83363045822</v>
      </c>
      <c r="AS16" s="9">
        <v>674752.02</v>
      </c>
      <c r="AT16" s="10"/>
      <c r="AU16" s="10"/>
      <c r="AV16" s="9">
        <v>662671.12</v>
      </c>
      <c r="AW16" s="9">
        <f t="shared" si="2"/>
        <v>23618.549999999814</v>
      </c>
      <c r="AX16" s="9">
        <f t="shared" si="1"/>
        <v>2869.2363695417298</v>
      </c>
      <c r="AY16" s="9">
        <v>17519.95</v>
      </c>
      <c r="AZ16" s="9">
        <v>11537.64999999979</v>
      </c>
      <c r="BA16" s="5"/>
      <c r="BB16" s="5"/>
      <c r="BC16" s="5"/>
    </row>
    <row r="17" spans="1:55">
      <c r="A17" s="1" t="s">
        <v>15</v>
      </c>
      <c r="B17" s="55">
        <v>20358</v>
      </c>
      <c r="C17" s="53">
        <v>743360.38544441829</v>
      </c>
      <c r="D17" s="54">
        <v>319940.66347385233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>
        <v>253093.12061910468</v>
      </c>
      <c r="Q17" s="70">
        <v>255</v>
      </c>
      <c r="R17" s="55">
        <v>44135.5</v>
      </c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>
        <v>644331.78</v>
      </c>
      <c r="AE17" s="55">
        <v>346172.15999999997</v>
      </c>
      <c r="AF17" s="55">
        <v>256556.09121993996</v>
      </c>
      <c r="AG17" s="55">
        <v>4032</v>
      </c>
      <c r="AH17" s="55">
        <f>7071.504+38273.68</f>
        <v>45345.184000000001</v>
      </c>
      <c r="AI17" s="55"/>
      <c r="AJ17" s="57"/>
      <c r="AK17" s="57"/>
      <c r="AL17" s="57">
        <f>51946.92+262.57</f>
        <v>52209.49</v>
      </c>
      <c r="AM17" s="57">
        <f>12984.56+62.78</f>
        <v>13047.34</v>
      </c>
      <c r="AN17" s="57">
        <v>111672.85</v>
      </c>
      <c r="AO17" s="55">
        <v>84569.946906489247</v>
      </c>
      <c r="AP17" s="55">
        <v>737616.6204734043</v>
      </c>
      <c r="AQ17" s="55"/>
      <c r="AR17" s="55">
        <f t="shared" si="0"/>
        <v>3656083.1321372087</v>
      </c>
      <c r="AS17" s="9">
        <v>3593740.27</v>
      </c>
      <c r="AT17" s="10">
        <v>13189.14</v>
      </c>
      <c r="AU17" s="10"/>
      <c r="AV17" s="9">
        <v>3595881.3800000004</v>
      </c>
      <c r="AW17" s="9">
        <f t="shared" si="2"/>
        <v>535053.93000000017</v>
      </c>
      <c r="AX17" s="9">
        <f t="shared" si="1"/>
        <v>-130762.85213720845</v>
      </c>
      <c r="AY17" s="9">
        <v>-70561.100000000006</v>
      </c>
      <c r="AZ17" s="9">
        <v>537195.0400000005</v>
      </c>
      <c r="BA17" s="5"/>
      <c r="BB17" s="5"/>
      <c r="BC17" s="5"/>
    </row>
    <row r="18" spans="1:55">
      <c r="A18" s="1" t="s">
        <v>18</v>
      </c>
      <c r="B18" s="55">
        <v>4621.5</v>
      </c>
      <c r="C18" s="53">
        <v>161591.3333164053</v>
      </c>
      <c r="D18" s="54">
        <v>72630.208087455001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>
        <v>1176.6726560160967</v>
      </c>
      <c r="Q18" s="70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>
        <v>145836.96</v>
      </c>
      <c r="AE18" s="55">
        <v>13562.88</v>
      </c>
      <c r="AF18" s="55">
        <v>61065.61942243464</v>
      </c>
      <c r="AG18" s="55">
        <v>1400</v>
      </c>
      <c r="AH18" s="55">
        <v>1489.6320000000001</v>
      </c>
      <c r="AI18" s="55"/>
      <c r="AJ18" s="57"/>
      <c r="AK18" s="57"/>
      <c r="AL18" s="57">
        <v>10960.8</v>
      </c>
      <c r="AM18" s="57">
        <v>2804.7</v>
      </c>
      <c r="AN18" s="57">
        <v>25267.27</v>
      </c>
      <c r="AO18" s="55">
        <v>18777.788981645546</v>
      </c>
      <c r="AP18" s="55">
        <v>168516.20723390501</v>
      </c>
      <c r="AQ18" s="55"/>
      <c r="AR18" s="55">
        <f t="shared" si="0"/>
        <v>685080.07169786165</v>
      </c>
      <c r="AS18" s="9">
        <v>760565.71</v>
      </c>
      <c r="AT18" s="10">
        <v>14410.38</v>
      </c>
      <c r="AU18" s="10"/>
      <c r="AV18" s="9">
        <v>762724.17</v>
      </c>
      <c r="AW18" s="9">
        <f t="shared" si="2"/>
        <v>77246.309999999707</v>
      </c>
      <c r="AX18" s="9">
        <f t="shared" si="1"/>
        <v>152894.63830213842</v>
      </c>
      <c r="AY18" s="9">
        <v>75250.539999999994</v>
      </c>
      <c r="AZ18" s="9">
        <v>79404.769999999786</v>
      </c>
      <c r="BA18" s="5"/>
      <c r="BB18" s="5"/>
      <c r="BC18" s="5"/>
    </row>
    <row r="19" spans="1:55">
      <c r="A19" s="1" t="s">
        <v>19</v>
      </c>
      <c r="B19" s="55">
        <v>7672.4</v>
      </c>
      <c r="C19" s="53">
        <v>255728.45417878355</v>
      </c>
      <c r="D19" s="54">
        <v>120577.30358762083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>
        <v>84584.469763903078</v>
      </c>
      <c r="Q19" s="70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>
        <v>241353.83</v>
      </c>
      <c r="AE19" s="55">
        <v>135194.69</v>
      </c>
      <c r="AF19" s="55">
        <v>78189.574997186442</v>
      </c>
      <c r="AG19" s="55"/>
      <c r="AH19" s="55">
        <v>2494.9920000000002</v>
      </c>
      <c r="AI19" s="55"/>
      <c r="AJ19" s="57"/>
      <c r="AK19" s="57"/>
      <c r="AL19" s="57">
        <v>19011.54</v>
      </c>
      <c r="AM19" s="57">
        <v>5069.76</v>
      </c>
      <c r="AN19" s="57">
        <v>36671.19</v>
      </c>
      <c r="AO19" s="55">
        <v>32198.96163794813</v>
      </c>
      <c r="AP19" s="55">
        <v>270835.9647321027</v>
      </c>
      <c r="AQ19" s="55"/>
      <c r="AR19" s="55">
        <f t="shared" si="0"/>
        <v>1281910.7308975449</v>
      </c>
      <c r="AS19" s="9">
        <v>1393189.41</v>
      </c>
      <c r="AT19" s="10"/>
      <c r="AU19" s="10"/>
      <c r="AV19" s="9">
        <v>1339246.8399999999</v>
      </c>
      <c r="AW19" s="9">
        <f t="shared" si="2"/>
        <v>233399.91000000015</v>
      </c>
      <c r="AX19" s="9">
        <f t="shared" si="1"/>
        <v>153762.33910245495</v>
      </c>
      <c r="AY19" s="9">
        <v>96426.23</v>
      </c>
      <c r="AZ19" s="9">
        <v>179457.34</v>
      </c>
      <c r="BA19" s="5"/>
      <c r="BB19" s="5"/>
      <c r="BC19" s="5"/>
    </row>
    <row r="20" spans="1:55">
      <c r="A20" s="1" t="s">
        <v>20</v>
      </c>
      <c r="B20" s="55">
        <v>6142.6</v>
      </c>
      <c r="C20" s="53">
        <v>203140.18572147383</v>
      </c>
      <c r="D20" s="54">
        <v>96535.39244790675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>
        <v>72278.002235356733</v>
      </c>
      <c r="Q20" s="70">
        <v>210</v>
      </c>
      <c r="R20" s="55">
        <v>37545.1</v>
      </c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>
        <v>194150.71000000002</v>
      </c>
      <c r="AE20" s="55">
        <v>1127.3599999999999</v>
      </c>
      <c r="AF20" s="55">
        <v>76239.44323767467</v>
      </c>
      <c r="AG20" s="55"/>
      <c r="AH20" s="55">
        <v>2024.88</v>
      </c>
      <c r="AI20" s="55"/>
      <c r="AJ20" s="57"/>
      <c r="AK20" s="57"/>
      <c r="AL20" s="57">
        <v>14579.2</v>
      </c>
      <c r="AM20" s="57">
        <v>3730.84</v>
      </c>
      <c r="AN20" s="57">
        <v>17084.03</v>
      </c>
      <c r="AO20" s="55">
        <v>25022.291987808276</v>
      </c>
      <c r="AP20" s="55">
        <v>232184.22791452665</v>
      </c>
      <c r="AQ20" s="55"/>
      <c r="AR20" s="55">
        <f t="shared" si="0"/>
        <v>975641.66354474681</v>
      </c>
      <c r="AS20" s="9">
        <v>994803.03</v>
      </c>
      <c r="AT20" s="10">
        <v>1464.98</v>
      </c>
      <c r="AU20" s="10"/>
      <c r="AV20" s="9">
        <v>1007066.49</v>
      </c>
      <c r="AW20" s="9">
        <f t="shared" si="2"/>
        <v>217229.35999999987</v>
      </c>
      <c r="AX20" s="9">
        <f t="shared" si="1"/>
        <v>113417.91645525326</v>
      </c>
      <c r="AY20" s="9">
        <v>81993.09</v>
      </c>
      <c r="AZ20" s="9">
        <v>229492.81999999983</v>
      </c>
      <c r="BA20" s="5"/>
      <c r="BB20" s="5"/>
      <c r="BC20" s="5"/>
    </row>
    <row r="21" spans="1:55">
      <c r="A21" s="1" t="s">
        <v>16</v>
      </c>
      <c r="B21" s="55">
        <v>7120.8</v>
      </c>
      <c r="C21" s="53">
        <v>247599.38903256727</v>
      </c>
      <c r="D21" s="54">
        <v>109797.03011950206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>
        <v>11978.087557563766</v>
      </c>
      <c r="Q21" s="58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>
        <v>225279.59</v>
      </c>
      <c r="AE21" s="55">
        <f>106594.08</f>
        <v>106594.08</v>
      </c>
      <c r="AF21" s="55">
        <v>70718.178828200602</v>
      </c>
      <c r="AG21" s="55"/>
      <c r="AH21" s="55">
        <v>1288.56</v>
      </c>
      <c r="AI21" s="55">
        <v>465958.68</v>
      </c>
      <c r="AJ21" s="57"/>
      <c r="AK21" s="57"/>
      <c r="AL21" s="57">
        <v>48906.12</v>
      </c>
      <c r="AM21" s="57">
        <v>10032.24</v>
      </c>
      <c r="AN21" s="57">
        <v>77315.77</v>
      </c>
      <c r="AO21" s="55">
        <v>32648.873842800305</v>
      </c>
      <c r="AP21" s="55">
        <v>275685.46988795645</v>
      </c>
      <c r="AQ21" s="55"/>
      <c r="AR21" s="55">
        <f t="shared" si="0"/>
        <v>1683802.0692685905</v>
      </c>
      <c r="AS21" s="9">
        <v>1585311.6400000001</v>
      </c>
      <c r="AT21" s="10"/>
      <c r="AU21" s="10"/>
      <c r="AV21" s="9">
        <v>1517369.41</v>
      </c>
      <c r="AW21" s="9">
        <f t="shared" si="2"/>
        <v>581420.88000000012</v>
      </c>
      <c r="AX21" s="9">
        <f t="shared" si="1"/>
        <v>-272229.2392685907</v>
      </c>
      <c r="AY21" s="9">
        <v>-105796.58</v>
      </c>
      <c r="AZ21" s="9">
        <v>513478.65000000014</v>
      </c>
      <c r="BA21" s="5"/>
      <c r="BB21" s="5"/>
      <c r="BC21" s="5"/>
    </row>
    <row r="22" spans="1:55">
      <c r="A22" s="1" t="s">
        <v>21</v>
      </c>
      <c r="B22" s="55">
        <v>2429.5</v>
      </c>
      <c r="C22" s="53">
        <v>75927.723590805326</v>
      </c>
      <c r="D22" s="54">
        <v>38181.346002049526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>
        <v>618.57107384855715</v>
      </c>
      <c r="Q22" s="58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>
        <v>77488.89</v>
      </c>
      <c r="AE22" s="55">
        <v>40222.080000000002</v>
      </c>
      <c r="AF22" s="55">
        <v>24460.6838877544</v>
      </c>
      <c r="AG22" s="55"/>
      <c r="AH22" s="55">
        <v>467.28</v>
      </c>
      <c r="AI22" s="55">
        <v>186401.40000000002</v>
      </c>
      <c r="AJ22" s="57"/>
      <c r="AK22" s="57"/>
      <c r="AL22" s="57">
        <v>8044.98</v>
      </c>
      <c r="AM22" s="57">
        <v>1885.44</v>
      </c>
      <c r="AN22" s="57">
        <v>43746.28</v>
      </c>
      <c r="AO22" s="55">
        <v>12023.096039361215</v>
      </c>
      <c r="AP22" s="55">
        <v>89132.165946072084</v>
      </c>
      <c r="AQ22" s="55"/>
      <c r="AR22" s="55">
        <f t="shared" si="0"/>
        <v>598599.93653989106</v>
      </c>
      <c r="AS22" s="9">
        <v>636517.06000000006</v>
      </c>
      <c r="AT22" s="10"/>
      <c r="AU22" s="10"/>
      <c r="AV22" s="9">
        <v>598336.5</v>
      </c>
      <c r="AW22" s="9">
        <f t="shared" si="2"/>
        <v>257245.02999999991</v>
      </c>
      <c r="AX22" s="9">
        <f t="shared" si="1"/>
        <v>-45622.156539891032</v>
      </c>
      <c r="AY22" s="9">
        <v>-45358.720000000001</v>
      </c>
      <c r="AZ22" s="9">
        <v>219064.46999999986</v>
      </c>
      <c r="BA22" s="5"/>
      <c r="BB22" s="5"/>
      <c r="BC22" s="5"/>
    </row>
    <row r="23" spans="1:55">
      <c r="A23" s="1" t="s">
        <v>22</v>
      </c>
      <c r="B23" s="55">
        <v>3742.4</v>
      </c>
      <c r="C23" s="53">
        <v>106721.58396307564</v>
      </c>
      <c r="D23" s="54">
        <v>55485.393484205604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>
        <v>39047.056171254233</v>
      </c>
      <c r="Q23" s="70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>
        <v>117422.18</v>
      </c>
      <c r="AE23" s="55">
        <v>37852.800000000003</v>
      </c>
      <c r="AF23" s="55">
        <v>35578.917159604112</v>
      </c>
      <c r="AG23" s="55"/>
      <c r="AH23" s="55">
        <v>434.71199999999999</v>
      </c>
      <c r="AI23" s="55">
        <v>188204.16</v>
      </c>
      <c r="AJ23" s="57"/>
      <c r="AK23" s="57"/>
      <c r="AL23" s="57">
        <v>7452.48</v>
      </c>
      <c r="AM23" s="57">
        <v>1774.8</v>
      </c>
      <c r="AN23" s="57">
        <v>29450.65</v>
      </c>
      <c r="AO23" s="55">
        <v>16316.246600002229</v>
      </c>
      <c r="AP23" s="55">
        <v>136216.50217681838</v>
      </c>
      <c r="AQ23" s="55"/>
      <c r="AR23" s="55">
        <f t="shared" si="0"/>
        <v>771957.48155496013</v>
      </c>
      <c r="AS23" s="9">
        <v>598704.96000000008</v>
      </c>
      <c r="AT23" s="10">
        <v>1264.33</v>
      </c>
      <c r="AU23" s="10"/>
      <c r="AV23" s="9">
        <v>597905.94000000006</v>
      </c>
      <c r="AW23" s="9">
        <f t="shared" si="2"/>
        <v>115731.35999999999</v>
      </c>
      <c r="AX23" s="9">
        <f>AY23+AV23-AR23</f>
        <v>-44389.311554960092</v>
      </c>
      <c r="AY23" s="9">
        <v>129662.23</v>
      </c>
      <c r="AZ23" s="9">
        <v>114932.34</v>
      </c>
      <c r="BA23" s="5"/>
      <c r="BB23" s="5"/>
      <c r="BC23" s="5"/>
    </row>
    <row r="24" spans="1:55">
      <c r="A24" s="1" t="s">
        <v>23</v>
      </c>
      <c r="B24" s="55">
        <v>7757</v>
      </c>
      <c r="C24" s="53">
        <v>224652.58446609456</v>
      </c>
      <c r="D24" s="54">
        <v>121906.85364803384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83782.856940445767</v>
      </c>
      <c r="Q24" s="70"/>
      <c r="R24" s="55"/>
      <c r="S24" s="55"/>
      <c r="T24" s="54"/>
      <c r="U24" s="55"/>
      <c r="V24" s="55"/>
      <c r="W24" s="55"/>
      <c r="X24" s="55"/>
      <c r="Y24" s="55"/>
      <c r="Z24" s="55"/>
      <c r="AA24" s="55"/>
      <c r="AB24" s="55"/>
      <c r="AC24" s="55"/>
      <c r="AD24" s="55">
        <v>244408.36</v>
      </c>
      <c r="AE24" s="55">
        <v>135150.72</v>
      </c>
      <c r="AF24" s="55">
        <v>79805.240621070552</v>
      </c>
      <c r="AG24" s="55">
        <v>1400</v>
      </c>
      <c r="AH24" s="55">
        <v>2473.752</v>
      </c>
      <c r="AI24" s="55"/>
      <c r="AJ24" s="57">
        <v>70952.160000000003</v>
      </c>
      <c r="AK24" s="57"/>
      <c r="AL24" s="57">
        <f>18160.32+246.84</f>
        <v>18407.16</v>
      </c>
      <c r="AM24" s="57">
        <f>4647.54+62.82</f>
        <v>4710.3599999999997</v>
      </c>
      <c r="AN24" s="57">
        <v>46685.65</v>
      </c>
      <c r="AO24" s="55">
        <v>33392.530038001627</v>
      </c>
      <c r="AP24" s="55">
        <v>286452.24475352181</v>
      </c>
      <c r="AQ24" s="55"/>
      <c r="AR24" s="55">
        <f t="shared" si="0"/>
        <v>1354180.4724671682</v>
      </c>
      <c r="AS24" s="9">
        <v>1482988.56</v>
      </c>
      <c r="AT24" s="10">
        <v>9400</v>
      </c>
      <c r="AU24" s="10"/>
      <c r="AV24" s="9">
        <v>1481306.95</v>
      </c>
      <c r="AW24" s="9">
        <f t="shared" si="2"/>
        <v>356434.4700000002</v>
      </c>
      <c r="AX24" s="9">
        <f t="shared" si="1"/>
        <v>235215.80753283179</v>
      </c>
      <c r="AY24" s="9">
        <v>108089.33</v>
      </c>
      <c r="AZ24" s="9">
        <v>354752.8600000001</v>
      </c>
      <c r="BA24" s="5"/>
      <c r="BB24" s="5"/>
      <c r="BC24" s="5"/>
    </row>
    <row r="25" spans="1:55" s="7" customFormat="1">
      <c r="A25" s="3" t="s">
        <v>26</v>
      </c>
      <c r="B25" s="55">
        <v>13863.5</v>
      </c>
      <c r="C25" s="53">
        <v>493751.79685125721</v>
      </c>
      <c r="D25" s="54">
        <v>217874.90854061069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>
        <v>164560.61151536289</v>
      </c>
      <c r="Q25" s="70">
        <v>168</v>
      </c>
      <c r="R25" s="55">
        <v>35160.18</v>
      </c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>
        <v>436119.22</v>
      </c>
      <c r="AE25" s="55">
        <v>238195.20000000001</v>
      </c>
      <c r="AF25" s="55">
        <v>141779.74587278991</v>
      </c>
      <c r="AG25" s="55">
        <f>31170.47+1305</f>
        <v>32475.47</v>
      </c>
      <c r="AH25" s="55">
        <v>3981.2256000000002</v>
      </c>
      <c r="AI25" s="55"/>
      <c r="AJ25" s="57"/>
      <c r="AK25" s="57"/>
      <c r="AL25" s="57">
        <f>36479.7+92.3</f>
        <v>36572</v>
      </c>
      <c r="AM25" s="57">
        <f>8932.08+22.14</f>
        <v>8954.2199999999993</v>
      </c>
      <c r="AN25" s="57">
        <v>89632.02</v>
      </c>
      <c r="AO25" s="55">
        <v>57824.768595054207</v>
      </c>
      <c r="AP25" s="55">
        <v>510817.41363999608</v>
      </c>
      <c r="AQ25" s="55"/>
      <c r="AR25" s="55">
        <f t="shared" si="0"/>
        <v>2467698.7806150708</v>
      </c>
      <c r="AS25" s="9">
        <v>2486843</v>
      </c>
      <c r="AT25" s="10"/>
      <c r="AU25" s="10"/>
      <c r="AV25" s="9">
        <v>2508169.4500000002</v>
      </c>
      <c r="AW25" s="9">
        <f t="shared" si="2"/>
        <v>344408.99000000022</v>
      </c>
      <c r="AX25" s="9">
        <f t="shared" si="1"/>
        <v>8076.249384929426</v>
      </c>
      <c r="AY25" s="9">
        <v>-32394.42</v>
      </c>
      <c r="AZ25" s="9">
        <v>365735.44000000041</v>
      </c>
      <c r="BA25" s="6"/>
      <c r="BB25" s="6"/>
      <c r="BC25" s="6"/>
    </row>
    <row r="26" spans="1:55">
      <c r="A26" s="1" t="s">
        <v>27</v>
      </c>
      <c r="B26" s="55">
        <v>3200.9</v>
      </c>
      <c r="C26" s="53">
        <v>97997.293356192109</v>
      </c>
      <c r="D26" s="54">
        <v>50304.453763309466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>
        <v>62415.895634935267</v>
      </c>
      <c r="Q26" s="70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>
        <v>100284.45</v>
      </c>
      <c r="AE26" s="55">
        <f>49470.59+1086.74+28200</f>
        <v>78757.329999999987</v>
      </c>
      <c r="AF26" s="55">
        <v>31881.65685585127</v>
      </c>
      <c r="AG26" s="55"/>
      <c r="AH26" s="55">
        <v>1127.136</v>
      </c>
      <c r="AI26" s="55">
        <v>224607.96000000002</v>
      </c>
      <c r="AJ26" s="57"/>
      <c r="AK26" s="57"/>
      <c r="AL26" s="57">
        <f>7324.14+1063.61</f>
        <v>8387.75</v>
      </c>
      <c r="AM26" s="57">
        <f>1658.52+240.47</f>
        <v>1898.99</v>
      </c>
      <c r="AN26" s="57">
        <v>0</v>
      </c>
      <c r="AO26" s="55">
        <v>15153.155138666934</v>
      </c>
      <c r="AP26" s="55">
        <v>113353.10675603301</v>
      </c>
      <c r="AQ26" s="55"/>
      <c r="AR26" s="55">
        <f t="shared" si="0"/>
        <v>786169.17750498815</v>
      </c>
      <c r="AS26" s="9">
        <v>826396.17</v>
      </c>
      <c r="AT26" s="10">
        <f>19348.74+4721.42</f>
        <v>24070.160000000003</v>
      </c>
      <c r="AU26" s="10"/>
      <c r="AV26" s="9">
        <v>784884.35000000009</v>
      </c>
      <c r="AW26" s="9">
        <f>AZ26+AS26-AV26</f>
        <v>61385.460000000079</v>
      </c>
      <c r="AX26" s="9">
        <f t="shared" si="1"/>
        <v>-7063.0175049880054</v>
      </c>
      <c r="AY26" s="9">
        <v>-5778.19</v>
      </c>
      <c r="AZ26" s="9">
        <v>19873.64000000013</v>
      </c>
      <c r="BA26" s="5"/>
      <c r="BB26" s="5"/>
      <c r="BC26" s="5"/>
    </row>
    <row r="27" spans="1:55" s="7" customFormat="1">
      <c r="A27" s="3" t="s">
        <v>28</v>
      </c>
      <c r="B27" s="55">
        <v>3103.4</v>
      </c>
      <c r="C27" s="53">
        <v>95393.952005213097</v>
      </c>
      <c r="D27" s="54">
        <v>48772.170892266113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>
        <v>58498.77846338784</v>
      </c>
      <c r="Q27" s="70">
        <v>185</v>
      </c>
      <c r="R27" s="55">
        <v>38947.43</v>
      </c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>
        <v>98049.61</v>
      </c>
      <c r="AE27" s="55">
        <v>54850.559999999998</v>
      </c>
      <c r="AF27" s="55">
        <v>31464.829086736616</v>
      </c>
      <c r="AG27" s="55"/>
      <c r="AH27" s="55">
        <f>1039.344+6205.59</f>
        <v>7244.9340000000002</v>
      </c>
      <c r="AI27" s="55"/>
      <c r="AJ27" s="57"/>
      <c r="AK27" s="57"/>
      <c r="AL27" s="57">
        <v>7376.1</v>
      </c>
      <c r="AM27" s="57">
        <v>1887.6</v>
      </c>
      <c r="AN27" s="57">
        <v>11490.12</v>
      </c>
      <c r="AO27" s="55">
        <v>13194.311025130108</v>
      </c>
      <c r="AP27" s="55">
        <v>115497.27073844007</v>
      </c>
      <c r="AQ27" s="55"/>
      <c r="AR27" s="55">
        <f t="shared" si="0"/>
        <v>582667.66621117375</v>
      </c>
      <c r="AS27" s="9">
        <v>561753.78</v>
      </c>
      <c r="AT27" s="10"/>
      <c r="AU27" s="10"/>
      <c r="AV27" s="9">
        <v>575393.30999999994</v>
      </c>
      <c r="AW27" s="9">
        <f t="shared" si="2"/>
        <v>77384.570000000182</v>
      </c>
      <c r="AX27" s="9">
        <f t="shared" si="1"/>
        <v>96930.643788826186</v>
      </c>
      <c r="AY27" s="9">
        <v>104205</v>
      </c>
      <c r="AZ27" s="9">
        <v>91024.100000000093</v>
      </c>
      <c r="BA27" s="6"/>
      <c r="BB27" s="6"/>
      <c r="BC27" s="6"/>
    </row>
    <row r="28" spans="1:55">
      <c r="A28" s="1" t="s">
        <v>29</v>
      </c>
      <c r="B28" s="55">
        <v>4654</v>
      </c>
      <c r="C28" s="53">
        <v>148794.858700065</v>
      </c>
      <c r="D28" s="54">
        <v>73140.969044469442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>
        <v>54175.312988530954</v>
      </c>
      <c r="Q28" s="70">
        <v>156</v>
      </c>
      <c r="R28" s="55">
        <v>32232.95</v>
      </c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>
        <v>146443.13</v>
      </c>
      <c r="AE28" s="55">
        <v>82235.520000000004</v>
      </c>
      <c r="AF28" s="55">
        <v>46889.100468139528</v>
      </c>
      <c r="AG28" s="55">
        <v>1300</v>
      </c>
      <c r="AH28" s="55">
        <v>1542.0239999999999</v>
      </c>
      <c r="AI28" s="55"/>
      <c r="AJ28" s="57">
        <v>43182.879999999997</v>
      </c>
      <c r="AK28" s="57"/>
      <c r="AL28" s="57">
        <v>11053.9</v>
      </c>
      <c r="AM28" s="57">
        <v>2828.9</v>
      </c>
      <c r="AN28" s="57">
        <v>37833.97</v>
      </c>
      <c r="AO28" s="55">
        <v>20037.88035282449</v>
      </c>
      <c r="AP28" s="55">
        <v>178040.1592397693</v>
      </c>
      <c r="AQ28" s="55"/>
      <c r="AR28" s="55">
        <f t="shared" si="0"/>
        <v>879731.55479379871</v>
      </c>
      <c r="AS28" s="9">
        <v>912848.02</v>
      </c>
      <c r="AT28" s="10">
        <v>9000</v>
      </c>
      <c r="AU28" s="10"/>
      <c r="AV28" s="9">
        <v>927270.12</v>
      </c>
      <c r="AW28" s="9">
        <f t="shared" si="2"/>
        <v>130969.16000000003</v>
      </c>
      <c r="AX28" s="9">
        <f t="shared" si="1"/>
        <v>76607.485206201323</v>
      </c>
      <c r="AY28" s="9">
        <v>29068.92</v>
      </c>
      <c r="AZ28" s="9">
        <v>145391.26</v>
      </c>
      <c r="BA28" s="5"/>
      <c r="BB28" s="5"/>
      <c r="BC28" s="5"/>
    </row>
    <row r="29" spans="1:55" s="7" customFormat="1">
      <c r="A29" s="3" t="s">
        <v>24</v>
      </c>
      <c r="B29" s="55">
        <v>9316</v>
      </c>
      <c r="C29" s="53">
        <v>323882.58518380002</v>
      </c>
      <c r="D29" s="54">
        <v>146407.66386297322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>
        <v>115116.58720652222</v>
      </c>
      <c r="Q29" s="70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>
        <v>316356.23</v>
      </c>
      <c r="AE29" s="55"/>
      <c r="AF29" s="55">
        <v>141165.60559639102</v>
      </c>
      <c r="AG29" s="55"/>
      <c r="AH29" s="55">
        <f>3432.384+11748</f>
        <v>15180.384</v>
      </c>
      <c r="AI29" s="55"/>
      <c r="AJ29" s="57">
        <v>84904.27</v>
      </c>
      <c r="AK29" s="57"/>
      <c r="AL29" s="57">
        <v>28302.09</v>
      </c>
      <c r="AM29" s="57">
        <v>6570.08</v>
      </c>
      <c r="AN29" s="57">
        <v>9604.49</v>
      </c>
      <c r="AO29" s="55">
        <v>40343.137504708408</v>
      </c>
      <c r="AP29" s="55">
        <v>335917.32297328982</v>
      </c>
      <c r="AQ29" s="55"/>
      <c r="AR29" s="55">
        <f t="shared" si="0"/>
        <v>1563750.4463276849</v>
      </c>
      <c r="AS29" s="9">
        <v>1589856.17</v>
      </c>
      <c r="AT29" s="10"/>
      <c r="AU29" s="10">
        <v>224283.26</v>
      </c>
      <c r="AV29" s="9">
        <v>1608240</v>
      </c>
      <c r="AW29" s="9">
        <f>AZ29+AS29-AV29</f>
        <v>75500.409999999916</v>
      </c>
      <c r="AX29" s="9">
        <f t="shared" si="1"/>
        <v>-32843.176327684894</v>
      </c>
      <c r="AY29" s="9">
        <v>-77332.73</v>
      </c>
      <c r="AZ29" s="9">
        <v>93884.24</v>
      </c>
      <c r="BA29" s="6"/>
      <c r="BB29" s="6"/>
      <c r="BC29" s="6"/>
    </row>
    <row r="30" spans="1:55">
      <c r="A30" s="1" t="s">
        <v>25</v>
      </c>
      <c r="B30" s="55">
        <v>10136.4</v>
      </c>
      <c r="C30" s="53">
        <v>383430.02774916601</v>
      </c>
      <c r="D30" s="54">
        <v>159300.84199019341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>
        <v>139175.5254376762</v>
      </c>
      <c r="Q30" s="70">
        <v>173</v>
      </c>
      <c r="R30" s="55">
        <v>36164.47</v>
      </c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>
        <v>319604.17</v>
      </c>
      <c r="AE30" s="55">
        <v>160060.79999999999</v>
      </c>
      <c r="AF30" s="55">
        <v>101820.00519167373</v>
      </c>
      <c r="AG30" s="55">
        <v>3312.5</v>
      </c>
      <c r="AH30" s="55">
        <v>3596.64</v>
      </c>
      <c r="AI30" s="55"/>
      <c r="AJ30" s="57"/>
      <c r="AK30" s="57"/>
      <c r="AL30" s="57">
        <f>21509.17+3668.52</f>
        <v>25177.69</v>
      </c>
      <c r="AM30" s="57">
        <f>5505.2+873.48</f>
        <v>6378.68</v>
      </c>
      <c r="AN30" s="57">
        <v>9604.49</v>
      </c>
      <c r="AO30" s="55">
        <v>40869.675748253147</v>
      </c>
      <c r="AP30" s="55">
        <v>374650.38880747691</v>
      </c>
      <c r="AQ30" s="55"/>
      <c r="AR30" s="55">
        <f t="shared" si="0"/>
        <v>1763145.9049244395</v>
      </c>
      <c r="AS30" s="9">
        <v>1897111.4300000002</v>
      </c>
      <c r="AT30" s="10">
        <v>6640</v>
      </c>
      <c r="AU30" s="10"/>
      <c r="AV30" s="9">
        <v>1934341.57</v>
      </c>
      <c r="AW30" s="9">
        <f t="shared" si="2"/>
        <v>299013.25000000023</v>
      </c>
      <c r="AX30" s="9">
        <f t="shared" si="1"/>
        <v>281467.79507556069</v>
      </c>
      <c r="AY30" s="9">
        <v>110272.13</v>
      </c>
      <c r="AZ30" s="9">
        <v>336243.39000000013</v>
      </c>
      <c r="BA30" s="5"/>
      <c r="BB30" s="5"/>
      <c r="BC30" s="5"/>
    </row>
    <row r="31" spans="1:55" s="7" customFormat="1">
      <c r="A31" s="3" t="s">
        <v>30</v>
      </c>
      <c r="B31" s="55">
        <v>13379.6</v>
      </c>
      <c r="C31" s="53">
        <v>473767.15784901375</v>
      </c>
      <c r="D31" s="54">
        <v>210270.07078370935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>
        <v>186534.69426088285</v>
      </c>
      <c r="Q31" s="70">
        <v>250</v>
      </c>
      <c r="R31" s="55">
        <v>52232.65</v>
      </c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>
        <v>420612.04</v>
      </c>
      <c r="AE31" s="55">
        <v>238663.67999999999</v>
      </c>
      <c r="AF31" s="55">
        <v>141553.11663146704</v>
      </c>
      <c r="AG31" s="55">
        <f>26110.1+4924.5</f>
        <v>31034.6</v>
      </c>
      <c r="AH31" s="55">
        <f>4391.016+4800</f>
        <v>9191.0159999999996</v>
      </c>
      <c r="AI31" s="55"/>
      <c r="AJ31" s="57"/>
      <c r="AK31" s="57"/>
      <c r="AL31" s="57">
        <f>38039.19+22.8</f>
        <v>38061.990000000005</v>
      </c>
      <c r="AM31" s="57">
        <f>9696.7+5.64</f>
        <v>9702.34</v>
      </c>
      <c r="AN31" s="57">
        <v>86684.56</v>
      </c>
      <c r="AO31" s="55">
        <v>56545.160086946824</v>
      </c>
      <c r="AP31" s="55">
        <v>484492.66057421948</v>
      </c>
      <c r="AQ31" s="55"/>
      <c r="AR31" s="55">
        <f t="shared" si="0"/>
        <v>2439345.7361862394</v>
      </c>
      <c r="AS31" s="9">
        <v>2484119.85</v>
      </c>
      <c r="AT31" s="10">
        <v>2554.19</v>
      </c>
      <c r="AU31" s="10"/>
      <c r="AV31" s="9">
        <v>2493447.56</v>
      </c>
      <c r="AW31" s="9">
        <f t="shared" si="2"/>
        <v>245126.51999999862</v>
      </c>
      <c r="AX31" s="9">
        <f t="shared" si="1"/>
        <v>166542.07381376065</v>
      </c>
      <c r="AY31" s="9">
        <v>112440.25</v>
      </c>
      <c r="AZ31" s="9">
        <v>254454.22999999858</v>
      </c>
      <c r="BA31" s="6"/>
      <c r="BB31" s="6"/>
      <c r="BC31" s="6"/>
    </row>
    <row r="32" spans="1:55">
      <c r="A32" s="1" t="s">
        <v>31</v>
      </c>
      <c r="B32" s="55">
        <v>4634.1000000000004</v>
      </c>
      <c r="C32" s="53">
        <v>151695.01595068569</v>
      </c>
      <c r="D32" s="54">
        <v>72828.226181559061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>
        <v>68195.847842748466</v>
      </c>
      <c r="Q32" s="70">
        <v>185</v>
      </c>
      <c r="R32" s="55">
        <v>38676.559999999998</v>
      </c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>
        <v>146723.79999999999</v>
      </c>
      <c r="AE32" s="55">
        <v>75011.199999999997</v>
      </c>
      <c r="AF32" s="55">
        <v>46696.397041311007</v>
      </c>
      <c r="AG32" s="55"/>
      <c r="AH32" s="55">
        <v>1479.72</v>
      </c>
      <c r="AI32" s="55"/>
      <c r="AJ32" s="57"/>
      <c r="AK32" s="57"/>
      <c r="AL32" s="57">
        <v>11000.12</v>
      </c>
      <c r="AM32" s="57">
        <v>2815.2</v>
      </c>
      <c r="AN32" s="57">
        <v>21879.279999999999</v>
      </c>
      <c r="AO32" s="55">
        <v>19536.286190164152</v>
      </c>
      <c r="AP32" s="55">
        <v>167148.06681156316</v>
      </c>
      <c r="AQ32" s="55"/>
      <c r="AR32" s="55">
        <f t="shared" si="0"/>
        <v>823685.72001803154</v>
      </c>
      <c r="AS32" s="9">
        <v>832833.70000000007</v>
      </c>
      <c r="AT32" s="10">
        <v>2829.12</v>
      </c>
      <c r="AU32" s="10"/>
      <c r="AV32" s="9">
        <v>805809.92</v>
      </c>
      <c r="AW32" s="9">
        <f t="shared" si="2"/>
        <v>167181.08000000007</v>
      </c>
      <c r="AX32" s="9">
        <f>AY32+AV32-AR32</f>
        <v>20554.789981968468</v>
      </c>
      <c r="AY32" s="9">
        <v>38430.589999999997</v>
      </c>
      <c r="AZ32" s="9">
        <v>140157.30000000005</v>
      </c>
      <c r="BA32" s="5"/>
      <c r="BB32" s="5"/>
      <c r="BC32" s="5"/>
    </row>
    <row r="33" spans="1:55">
      <c r="A33" s="1" t="s">
        <v>32</v>
      </c>
      <c r="B33" s="55">
        <v>3169.5</v>
      </c>
      <c r="C33" s="53">
        <v>93570.191880287064</v>
      </c>
      <c r="D33" s="54">
        <v>49810.980100224733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>
        <v>35425.511284303582</v>
      </c>
      <c r="Q33" s="70"/>
      <c r="R33" s="55"/>
      <c r="S33" s="55"/>
      <c r="T33" s="55"/>
      <c r="U33" s="55"/>
      <c r="V33" s="9"/>
      <c r="W33" s="9"/>
      <c r="X33" s="9"/>
      <c r="Y33" s="9"/>
      <c r="Z33" s="9"/>
      <c r="AA33" s="9"/>
      <c r="AB33" s="55"/>
      <c r="AC33" s="55"/>
      <c r="AD33" s="55">
        <v>100499.06</v>
      </c>
      <c r="AE33" s="55">
        <f>49693.98+1086.74+11750</f>
        <v>62530.720000000001</v>
      </c>
      <c r="AF33" s="55">
        <v>31628.614484111782</v>
      </c>
      <c r="AG33" s="55"/>
      <c r="AH33" s="55">
        <v>1127.136</v>
      </c>
      <c r="AI33" s="55">
        <v>221849.03999999998</v>
      </c>
      <c r="AJ33" s="57"/>
      <c r="AK33" s="57"/>
      <c r="AL33" s="57">
        <f>7357.14+1125.24</f>
        <v>8482.380000000001</v>
      </c>
      <c r="AM33" s="57">
        <f>1666.08+256.92</f>
        <v>1923</v>
      </c>
      <c r="AN33" s="57">
        <v>49980.65</v>
      </c>
      <c r="AO33" s="55">
        <v>14588.604952358663</v>
      </c>
      <c r="AP33" s="55">
        <v>115370.07161805948</v>
      </c>
      <c r="AQ33" s="55"/>
      <c r="AR33" s="55">
        <f t="shared" si="0"/>
        <v>786785.96031934535</v>
      </c>
      <c r="AS33" s="9">
        <v>835031.3</v>
      </c>
      <c r="AT33" s="10"/>
      <c r="AU33" s="10"/>
      <c r="AV33" s="9">
        <v>796816.91</v>
      </c>
      <c r="AW33" s="9">
        <f t="shared" si="2"/>
        <v>108215.97000000032</v>
      </c>
      <c r="AX33" s="9">
        <f t="shared" si="1"/>
        <v>20570.759680654737</v>
      </c>
      <c r="AY33" s="9">
        <v>10539.81</v>
      </c>
      <c r="AZ33" s="9">
        <v>70001.580000000307</v>
      </c>
      <c r="BA33" s="5"/>
      <c r="BB33" s="5"/>
      <c r="BC33" s="5"/>
    </row>
    <row r="34" spans="1:55">
      <c r="A34" s="1" t="s">
        <v>61</v>
      </c>
      <c r="B34" s="55">
        <v>3594</v>
      </c>
      <c r="C34" s="53">
        <v>132238.2332637803</v>
      </c>
      <c r="D34" s="54">
        <v>56482.303984921178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>
        <v>46931.952785040878</v>
      </c>
      <c r="Q34" s="70"/>
      <c r="R34" s="55">
        <v>38924.32</v>
      </c>
      <c r="S34" s="55"/>
      <c r="T34" s="55"/>
      <c r="U34" s="55"/>
      <c r="V34" s="55"/>
      <c r="W34" s="55"/>
      <c r="X34" s="55"/>
      <c r="Y34" s="55"/>
      <c r="Z34" s="55"/>
      <c r="AA34" s="55"/>
      <c r="AB34" s="55">
        <v>1</v>
      </c>
      <c r="AC34" s="55">
        <v>9200</v>
      </c>
      <c r="AD34" s="55">
        <v>113737.69</v>
      </c>
      <c r="AE34" s="55">
        <v>64039.49</v>
      </c>
      <c r="AF34" s="55">
        <v>36099.442603303272</v>
      </c>
      <c r="AG34" s="55"/>
      <c r="AH34" s="55">
        <v>1492.4639999999999</v>
      </c>
      <c r="AI34" s="55"/>
      <c r="AJ34" s="57"/>
      <c r="AK34" s="57"/>
      <c r="AL34" s="57">
        <v>7800.84</v>
      </c>
      <c r="AM34" s="57">
        <v>2001.96</v>
      </c>
      <c r="AN34" s="57">
        <v>10993.32</v>
      </c>
      <c r="AO34" s="55">
        <v>15282.749477449766</v>
      </c>
      <c r="AP34" s="55">
        <v>145629.22381773332</v>
      </c>
      <c r="AQ34" s="55"/>
      <c r="AR34" s="55">
        <f t="shared" si="0"/>
        <v>680853.98993222881</v>
      </c>
      <c r="AS34" s="9">
        <v>640656.84</v>
      </c>
      <c r="AT34" s="10"/>
      <c r="AU34" s="10"/>
      <c r="AV34" s="9">
        <v>695773.31</v>
      </c>
      <c r="AW34" s="9">
        <f t="shared" si="2"/>
        <v>120686.22999999998</v>
      </c>
      <c r="AX34" s="9">
        <f t="shared" si="1"/>
        <v>134396.31006777124</v>
      </c>
      <c r="AY34" s="9">
        <v>119476.99</v>
      </c>
      <c r="AZ34" s="9">
        <v>175802.70000000007</v>
      </c>
      <c r="BA34" s="5"/>
      <c r="BB34" s="5"/>
      <c r="BC34" s="5"/>
    </row>
    <row r="35" spans="1:55">
      <c r="A35" s="1" t="s">
        <v>33</v>
      </c>
      <c r="B35" s="55">
        <v>3572.9</v>
      </c>
      <c r="C35" s="53">
        <v>126431.99959685051</v>
      </c>
      <c r="D35" s="54">
        <v>56150.70225590565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>
        <v>46262.027304839336</v>
      </c>
      <c r="Q35" s="7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>
        <v>112920.73999999999</v>
      </c>
      <c r="AE35" s="55">
        <v>63822.720000000001</v>
      </c>
      <c r="AF35" s="55">
        <v>37909.352815057959</v>
      </c>
      <c r="AG35" s="55"/>
      <c r="AH35" s="55">
        <f>1469.808+1371.66</f>
        <v>2841.4679999999998</v>
      </c>
      <c r="AI35" s="55"/>
      <c r="AJ35" s="57">
        <v>33507.24</v>
      </c>
      <c r="AK35" s="57"/>
      <c r="AL35" s="57">
        <v>7778.76</v>
      </c>
      <c r="AM35" s="57">
        <v>1996.32</v>
      </c>
      <c r="AN35" s="57">
        <v>13266.44</v>
      </c>
      <c r="AO35" s="55">
        <v>15330.011294930515</v>
      </c>
      <c r="AP35" s="55">
        <v>128957.2357154645</v>
      </c>
      <c r="AQ35" s="55"/>
      <c r="AR35" s="55">
        <f t="shared" ref="AR35:AR62" si="3">C35+D35+P35+R35+V35+AC35+X35+AD35+AE35+AF35+AG35+AH35+AI35+AJ35+AK35+AL35+AM35+AN35+AO35+AP35</f>
        <v>647175.01698304852</v>
      </c>
      <c r="AS35" s="9">
        <v>785601.72</v>
      </c>
      <c r="AT35" s="10"/>
      <c r="AU35" s="10"/>
      <c r="AV35" s="9">
        <v>705496.3899999999</v>
      </c>
      <c r="AW35" s="9">
        <f t="shared" si="2"/>
        <v>127154.25000000023</v>
      </c>
      <c r="AX35" s="9">
        <f t="shared" si="1"/>
        <v>45324.273016951396</v>
      </c>
      <c r="AY35" s="9">
        <v>-12997.1</v>
      </c>
      <c r="AZ35" s="9">
        <v>47048.920000000158</v>
      </c>
      <c r="BA35" s="5"/>
      <c r="BB35" s="5"/>
      <c r="BC35" s="5"/>
    </row>
    <row r="36" spans="1:55">
      <c r="A36" s="1" t="s">
        <v>34</v>
      </c>
      <c r="B36" s="55">
        <v>16262.3</v>
      </c>
      <c r="C36" s="53">
        <v>699891.78643472865</v>
      </c>
      <c r="D36" s="54">
        <v>255573.78188480347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>
        <v>202446.63621903458</v>
      </c>
      <c r="Q36" s="70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>
        <v>515627.61</v>
      </c>
      <c r="AE36" s="55">
        <v>258203.71</v>
      </c>
      <c r="AF36" s="55">
        <v>161318.57592096462</v>
      </c>
      <c r="AG36" s="55">
        <f>144716.05</f>
        <v>144716.04999999999</v>
      </c>
      <c r="AH36" s="55">
        <f>5938.704+2400</f>
        <v>8338.7039999999997</v>
      </c>
      <c r="AI36" s="55"/>
      <c r="AJ36" s="57"/>
      <c r="AK36" s="57"/>
      <c r="AL36" s="57">
        <f>45786.8+3849.2</f>
        <v>49636</v>
      </c>
      <c r="AM36" s="57">
        <f>11247.6+945.48</f>
        <v>12193.08</v>
      </c>
      <c r="AN36" s="57">
        <v>90746.17</v>
      </c>
      <c r="AO36" s="55">
        <v>65374.574293024853</v>
      </c>
      <c r="AP36" s="55">
        <v>600359.13609129784</v>
      </c>
      <c r="AQ36" s="55"/>
      <c r="AR36" s="55">
        <f t="shared" si="3"/>
        <v>3064425.8148438539</v>
      </c>
      <c r="AS36" s="9">
        <v>2892237.8099999996</v>
      </c>
      <c r="AT36" s="10">
        <v>12500</v>
      </c>
      <c r="AU36" s="10"/>
      <c r="AV36" s="9">
        <v>2921909.1599999997</v>
      </c>
      <c r="AW36" s="9">
        <f t="shared" si="2"/>
        <v>331968.0700000003</v>
      </c>
      <c r="AX36" s="9">
        <f t="shared" si="1"/>
        <v>90805.395156145561</v>
      </c>
      <c r="AY36" s="9">
        <v>233322.05</v>
      </c>
      <c r="AZ36" s="9">
        <v>361639.42000000039</v>
      </c>
      <c r="BA36" s="5"/>
      <c r="BB36" s="5"/>
      <c r="BC36" s="5"/>
    </row>
    <row r="37" spans="1:55">
      <c r="A37" s="1" t="s">
        <v>35</v>
      </c>
      <c r="B37" s="55">
        <v>6184.5</v>
      </c>
      <c r="C37" s="53">
        <v>221977.30662594581</v>
      </c>
      <c r="D37" s="54">
        <v>97193.881189411535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>
        <v>77924.801512155085</v>
      </c>
      <c r="Q37" s="70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>
        <v>195293.38</v>
      </c>
      <c r="AE37" s="55">
        <v>107489.28</v>
      </c>
      <c r="AF37" s="55">
        <v>144981.98406381113</v>
      </c>
      <c r="AG37" s="55"/>
      <c r="AH37" s="55">
        <v>1999.3920000000001</v>
      </c>
      <c r="AI37" s="55"/>
      <c r="AJ37" s="57"/>
      <c r="AK37" s="57"/>
      <c r="AL37" s="57">
        <v>17471.900000000001</v>
      </c>
      <c r="AM37" s="57">
        <v>4367.8999999999996</v>
      </c>
      <c r="AN37" s="57">
        <v>41035.07</v>
      </c>
      <c r="AO37" s="55">
        <v>25809.839847882045</v>
      </c>
      <c r="AP37" s="55">
        <v>224865.13770054863</v>
      </c>
      <c r="AQ37" s="55"/>
      <c r="AR37" s="55">
        <f t="shared" si="3"/>
        <v>1160409.8729397543</v>
      </c>
      <c r="AS37" s="9">
        <v>1185409.6200000001</v>
      </c>
      <c r="AT37" s="10"/>
      <c r="AU37" s="10"/>
      <c r="AV37" s="9">
        <v>1227595.3800000001</v>
      </c>
      <c r="AW37" s="9">
        <f t="shared" si="2"/>
        <v>48445.089999999851</v>
      </c>
      <c r="AX37" s="9">
        <f t="shared" si="1"/>
        <v>1406.6970602457877</v>
      </c>
      <c r="AY37" s="9">
        <v>-65778.81</v>
      </c>
      <c r="AZ37" s="9">
        <v>90630.84999999986</v>
      </c>
      <c r="BA37" s="5"/>
      <c r="BB37" s="5"/>
      <c r="BC37" s="5"/>
    </row>
    <row r="38" spans="1:55">
      <c r="A38" s="2" t="s">
        <v>36</v>
      </c>
      <c r="B38" s="55">
        <v>4570.5</v>
      </c>
      <c r="C38" s="53">
        <v>150387.24532050863</v>
      </c>
      <c r="D38" s="54">
        <v>71828.706277986159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>
        <v>98508.501718539032</v>
      </c>
      <c r="Q38" s="70">
        <v>185</v>
      </c>
      <c r="R38" s="55">
        <v>38499.379999999997</v>
      </c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>
        <v>145365.11000000002</v>
      </c>
      <c r="AE38" s="55">
        <v>79522.559999999998</v>
      </c>
      <c r="AF38" s="55">
        <v>46044.13953422082</v>
      </c>
      <c r="AG38" s="55">
        <f>117945.63+1975</f>
        <v>119920.63</v>
      </c>
      <c r="AH38" s="55">
        <v>1502.376</v>
      </c>
      <c r="AI38" s="55"/>
      <c r="AJ38" s="57">
        <v>41748.36</v>
      </c>
      <c r="AK38" s="57"/>
      <c r="AL38" s="57">
        <f>10686.72+303.42</f>
        <v>10990.14</v>
      </c>
      <c r="AM38" s="57">
        <f>2735.16+77.64</f>
        <v>2812.7999999999997</v>
      </c>
      <c r="AN38" s="57">
        <v>18807.89</v>
      </c>
      <c r="AO38" s="55">
        <v>19423.09313764167</v>
      </c>
      <c r="AP38" s="55">
        <v>164409.896086241</v>
      </c>
      <c r="AQ38" s="55"/>
      <c r="AR38" s="55">
        <f t="shared" si="3"/>
        <v>1009770.8280751375</v>
      </c>
      <c r="AS38" s="9">
        <v>868983.96000000008</v>
      </c>
      <c r="AT38" s="10"/>
      <c r="AU38" s="10"/>
      <c r="AV38" s="9">
        <v>864196.42</v>
      </c>
      <c r="AW38" s="9">
        <f t="shared" si="2"/>
        <v>61529.3400000002</v>
      </c>
      <c r="AX38" s="9">
        <f t="shared" si="1"/>
        <v>-98005.388075137394</v>
      </c>
      <c r="AY38" s="9">
        <v>47569.02</v>
      </c>
      <c r="AZ38" s="9">
        <v>56741.800000000163</v>
      </c>
      <c r="BA38" s="5"/>
      <c r="BB38" s="5"/>
      <c r="BC38" s="5"/>
    </row>
    <row r="39" spans="1:55" s="7" customFormat="1">
      <c r="A39" s="3" t="s">
        <v>37</v>
      </c>
      <c r="B39" s="55">
        <v>8206.6</v>
      </c>
      <c r="C39" s="53">
        <v>263801.16630835272</v>
      </c>
      <c r="D39" s="54">
        <v>128972.642148763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>
        <v>99090.247836114766</v>
      </c>
      <c r="Q39" s="70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>
        <v>264558.74</v>
      </c>
      <c r="AE39" s="55">
        <v>136245.5</v>
      </c>
      <c r="AF39" s="55">
        <v>92328.673458563338</v>
      </c>
      <c r="AG39" s="55">
        <v>1233</v>
      </c>
      <c r="AH39" s="55">
        <v>3296.4479999999999</v>
      </c>
      <c r="AI39" s="55"/>
      <c r="AJ39" s="57"/>
      <c r="AK39" s="57"/>
      <c r="AL39" s="57">
        <f>18312.83+607.32</f>
        <v>18920.150000000001</v>
      </c>
      <c r="AM39" s="57">
        <f>4263.86+141.24</f>
        <v>4405.0999999999995</v>
      </c>
      <c r="AN39" s="57">
        <v>43561.15</v>
      </c>
      <c r="AO39" s="55">
        <v>33874.796145141692</v>
      </c>
      <c r="AP39" s="55">
        <v>307520.03730234015</v>
      </c>
      <c r="AQ39" s="55"/>
      <c r="AR39" s="55">
        <f t="shared" si="3"/>
        <v>1397807.6511992756</v>
      </c>
      <c r="AS39" s="9">
        <v>1409688.19</v>
      </c>
      <c r="AT39" s="10">
        <v>42527.85</v>
      </c>
      <c r="AU39" s="10"/>
      <c r="AV39" s="9">
        <v>1488362.4599999997</v>
      </c>
      <c r="AW39" s="9">
        <f t="shared" si="2"/>
        <v>260826.84000000008</v>
      </c>
      <c r="AX39" s="9">
        <f t="shared" si="1"/>
        <v>236151.12880072417</v>
      </c>
      <c r="AY39" s="9">
        <v>145596.32</v>
      </c>
      <c r="AZ39" s="9">
        <v>339501.11</v>
      </c>
      <c r="BA39" s="6"/>
      <c r="BB39" s="6"/>
      <c r="BC39" s="6"/>
    </row>
    <row r="40" spans="1:55">
      <c r="A40" s="2" t="s">
        <v>38</v>
      </c>
      <c r="B40" s="55">
        <v>16346.5</v>
      </c>
      <c r="C40" s="53">
        <v>558160.40508285607</v>
      </c>
      <c r="D40" s="54">
        <v>256897.04565651476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>
        <v>347011.56668410427</v>
      </c>
      <c r="Q40" s="70"/>
      <c r="R40" s="55"/>
      <c r="S40" s="55"/>
      <c r="T40" s="55"/>
      <c r="U40" s="55">
        <v>69</v>
      </c>
      <c r="V40" s="55">
        <v>18300</v>
      </c>
      <c r="W40" s="55"/>
      <c r="X40" s="55"/>
      <c r="Y40" s="55"/>
      <c r="Z40" s="55"/>
      <c r="AA40" s="55"/>
      <c r="AB40" s="55"/>
      <c r="AC40" s="55"/>
      <c r="AD40" s="55">
        <v>425618.14</v>
      </c>
      <c r="AE40" s="55">
        <f>7607.31+299880.13+197400</f>
        <v>504887.44</v>
      </c>
      <c r="AF40" s="55">
        <v>201702.53461104314</v>
      </c>
      <c r="AG40" s="55">
        <f>16029.02</f>
        <v>16029.02</v>
      </c>
      <c r="AH40" s="55">
        <v>2815.0079999999998</v>
      </c>
      <c r="AI40" s="55">
        <v>1243844.6499999999</v>
      </c>
      <c r="AJ40" s="57">
        <v>140225.28</v>
      </c>
      <c r="AK40" s="57"/>
      <c r="AL40" s="57">
        <f>61764.06+220.32</f>
        <v>61984.38</v>
      </c>
      <c r="AM40" s="57">
        <f>15023.4+53.6</f>
        <v>15077</v>
      </c>
      <c r="AN40" s="57">
        <v>174575.25</v>
      </c>
      <c r="AO40" s="55">
        <v>83299.871353125374</v>
      </c>
      <c r="AP40" s="55">
        <v>621627.44088802952</v>
      </c>
      <c r="AQ40" s="55"/>
      <c r="AR40" s="55">
        <f t="shared" si="3"/>
        <v>4672055.032275673</v>
      </c>
      <c r="AS40" s="9">
        <v>4599333.5299999993</v>
      </c>
      <c r="AT40" s="10">
        <v>14883.02</v>
      </c>
      <c r="AU40" s="10"/>
      <c r="AV40" s="9">
        <v>4483232.83</v>
      </c>
      <c r="AW40" s="9">
        <f t="shared" si="2"/>
        <v>937340.78999999817</v>
      </c>
      <c r="AX40" s="9">
        <f t="shared" si="1"/>
        <v>86479.457724327222</v>
      </c>
      <c r="AY40" s="9">
        <v>275301.65999999997</v>
      </c>
      <c r="AZ40" s="9">
        <v>821240.08999999892</v>
      </c>
      <c r="BA40" s="5"/>
      <c r="BB40" s="5"/>
      <c r="BC40" s="5"/>
    </row>
    <row r="41" spans="1:55" s="7" customFormat="1">
      <c r="A41" s="3" t="s">
        <v>39</v>
      </c>
      <c r="B41" s="55">
        <v>17722.2</v>
      </c>
      <c r="C41" s="53">
        <v>497690.19044472108</v>
      </c>
      <c r="D41" s="54">
        <v>278517.16407389269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>
        <v>4452</v>
      </c>
      <c r="Q41" s="70">
        <v>73</v>
      </c>
      <c r="R41" s="55">
        <v>15250.36</v>
      </c>
      <c r="S41" s="55"/>
      <c r="T41" s="55"/>
      <c r="U41" s="55">
        <v>1</v>
      </c>
      <c r="V41" s="55"/>
      <c r="W41" s="55">
        <v>16</v>
      </c>
      <c r="X41" s="55">
        <v>7200</v>
      </c>
      <c r="Y41" s="55"/>
      <c r="Z41" s="55"/>
      <c r="AA41" s="55"/>
      <c r="AB41" s="55"/>
      <c r="AC41" s="55"/>
      <c r="AD41" s="55">
        <v>555784.53</v>
      </c>
      <c r="AE41" s="55">
        <f>8694.06+340876.86+225600</f>
        <v>575170.91999999993</v>
      </c>
      <c r="AF41" s="55">
        <v>174567.00898394806</v>
      </c>
      <c r="AG41" s="55">
        <f>69692.4</f>
        <v>69692.399999999994</v>
      </c>
      <c r="AH41" s="55">
        <v>3932.232</v>
      </c>
      <c r="AI41" s="55">
        <v>1413111.5599999998</v>
      </c>
      <c r="AJ41" s="57">
        <v>159946.57999999999</v>
      </c>
      <c r="AK41" s="57"/>
      <c r="AL41" s="57">
        <v>64746.42</v>
      </c>
      <c r="AM41" s="57">
        <v>15233.48</v>
      </c>
      <c r="AN41" s="57">
        <v>143676.18</v>
      </c>
      <c r="AO41" s="55">
        <v>93026.342286382933</v>
      </c>
      <c r="AP41" s="55">
        <v>658345.17739472282</v>
      </c>
      <c r="AQ41" s="55"/>
      <c r="AR41" s="55">
        <f t="shared" si="3"/>
        <v>4730342.545183667</v>
      </c>
      <c r="AS41" s="9">
        <v>5154092.28</v>
      </c>
      <c r="AT41" s="10"/>
      <c r="AU41" s="10"/>
      <c r="AV41" s="9">
        <v>5139739.8199999994</v>
      </c>
      <c r="AW41" s="9">
        <f t="shared" si="2"/>
        <v>1235084.830000001</v>
      </c>
      <c r="AX41" s="9">
        <f t="shared" si="1"/>
        <v>545557.86481633224</v>
      </c>
      <c r="AY41" s="9">
        <v>136160.59</v>
      </c>
      <c r="AZ41" s="9">
        <v>1220732.3700000001</v>
      </c>
      <c r="BA41" s="6"/>
      <c r="BB41" s="6"/>
      <c r="BC41" s="6"/>
    </row>
    <row r="42" spans="1:55">
      <c r="A42" s="2" t="s">
        <v>40</v>
      </c>
      <c r="B42" s="55">
        <v>6614.2</v>
      </c>
      <c r="C42" s="53">
        <v>215958.21511882465</v>
      </c>
      <c r="D42" s="54">
        <v>103946.92682723029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>
        <v>73973.900062041561</v>
      </c>
      <c r="Q42" s="70"/>
      <c r="R42" s="55"/>
      <c r="S42" s="55"/>
      <c r="T42" s="55"/>
      <c r="U42" s="55">
        <v>18</v>
      </c>
      <c r="V42" s="55">
        <v>8100</v>
      </c>
      <c r="W42" s="55"/>
      <c r="X42" s="55"/>
      <c r="Y42" s="55"/>
      <c r="Z42" s="55"/>
      <c r="AA42" s="55"/>
      <c r="AB42" s="55"/>
      <c r="AC42" s="55"/>
      <c r="AD42" s="55">
        <v>207473.39</v>
      </c>
      <c r="AE42" s="55">
        <f>3260.26+121286.82+84600</f>
        <v>209147.08000000002</v>
      </c>
      <c r="AF42" s="55">
        <v>66033.745010475381</v>
      </c>
      <c r="AG42" s="55"/>
      <c r="AH42" s="55">
        <v>1231.92</v>
      </c>
      <c r="AI42" s="55">
        <v>503653.95999999996</v>
      </c>
      <c r="AJ42" s="57"/>
      <c r="AK42" s="57"/>
      <c r="AL42" s="57">
        <v>25102.86</v>
      </c>
      <c r="AM42" s="57">
        <v>6107.19</v>
      </c>
      <c r="AN42" s="57">
        <v>116660.88</v>
      </c>
      <c r="AO42" s="55">
        <v>33215.271792361782</v>
      </c>
      <c r="AP42" s="55">
        <v>241345.47782116075</v>
      </c>
      <c r="AQ42" s="55"/>
      <c r="AR42" s="55">
        <f t="shared" si="3"/>
        <v>1811950.8166320948</v>
      </c>
      <c r="AS42" s="9">
        <v>1853106.42</v>
      </c>
      <c r="AT42" s="10"/>
      <c r="AU42" s="10"/>
      <c r="AV42" s="9">
        <v>1885667.1300000004</v>
      </c>
      <c r="AW42" s="9">
        <f t="shared" si="2"/>
        <v>311314.54999999935</v>
      </c>
      <c r="AX42" s="9">
        <f t="shared" si="1"/>
        <v>228791.39336790564</v>
      </c>
      <c r="AY42" s="9">
        <v>155075.07999999999</v>
      </c>
      <c r="AZ42" s="9">
        <v>343875.26</v>
      </c>
      <c r="BA42" s="5"/>
      <c r="BB42" s="5"/>
      <c r="BC42" s="5"/>
    </row>
    <row r="43" spans="1:55">
      <c r="A43" s="2" t="s">
        <v>41</v>
      </c>
      <c r="B43" s="55">
        <v>6582.9</v>
      </c>
      <c r="C43" s="53">
        <v>211351.49985271547</v>
      </c>
      <c r="D43" s="54">
        <v>103455.02473632099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>
        <v>82098.136139278125</v>
      </c>
      <c r="Q43" s="70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>
        <v>206898.41</v>
      </c>
      <c r="AE43" s="55">
        <f>120614.5</f>
        <v>120614.5</v>
      </c>
      <c r="AF43" s="55">
        <v>72728.871150187304</v>
      </c>
      <c r="AG43" s="55"/>
      <c r="AH43" s="55">
        <v>1308.384</v>
      </c>
      <c r="AI43" s="55">
        <v>500011.92000000004</v>
      </c>
      <c r="AJ43" s="57">
        <v>56620.08</v>
      </c>
      <c r="AK43" s="57"/>
      <c r="AL43" s="57">
        <v>24940.02</v>
      </c>
      <c r="AM43" s="57">
        <v>6068.4</v>
      </c>
      <c r="AN43" s="57">
        <v>114623.36</v>
      </c>
      <c r="AO43" s="55">
        <v>33208.504441041754</v>
      </c>
      <c r="AP43" s="55">
        <v>255560.7214893591</v>
      </c>
      <c r="AQ43" s="55"/>
      <c r="AR43" s="55">
        <f t="shared" si="3"/>
        <v>1789487.8318089028</v>
      </c>
      <c r="AS43" s="9">
        <v>1896009.9800000002</v>
      </c>
      <c r="AT43" s="10"/>
      <c r="AU43" s="10"/>
      <c r="AV43" s="9">
        <v>1932467.2100000002</v>
      </c>
      <c r="AW43" s="9">
        <f t="shared" si="2"/>
        <v>147989.83000000007</v>
      </c>
      <c r="AX43" s="9">
        <f t="shared" si="1"/>
        <v>128977.3681910974</v>
      </c>
      <c r="AY43" s="9">
        <v>-14002.01</v>
      </c>
      <c r="AZ43" s="9">
        <v>184447.06</v>
      </c>
      <c r="BA43" s="5"/>
      <c r="BB43" s="5"/>
      <c r="BC43" s="5"/>
    </row>
    <row r="44" spans="1:55">
      <c r="A44" s="2" t="s">
        <v>42</v>
      </c>
      <c r="B44" s="55">
        <v>13956.8</v>
      </c>
      <c r="C44" s="53">
        <v>421214.25339080946</v>
      </c>
      <c r="D44" s="54">
        <v>219341.18538028601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>
        <v>157898.99551644368</v>
      </c>
      <c r="Q44" s="70"/>
      <c r="R44" s="55"/>
      <c r="S44" s="55"/>
      <c r="T44" s="55"/>
      <c r="U44" s="55">
        <v>27</v>
      </c>
      <c r="V44" s="55">
        <v>5400</v>
      </c>
      <c r="W44" s="55"/>
      <c r="X44" s="55"/>
      <c r="Y44" s="55"/>
      <c r="Z44" s="55"/>
      <c r="AA44" s="55"/>
      <c r="AB44" s="55"/>
      <c r="AC44" s="55"/>
      <c r="AD44" s="55">
        <v>437854.75</v>
      </c>
      <c r="AE44" s="55">
        <f>6520.54+255579.78+169200</f>
        <v>431300.32</v>
      </c>
      <c r="AF44" s="55">
        <v>152200.06152894581</v>
      </c>
      <c r="AG44" s="55">
        <f>20361.07</f>
        <v>20361.07</v>
      </c>
      <c r="AH44" s="55">
        <f>2718.72+2400</f>
        <v>5118.7199999999993</v>
      </c>
      <c r="AI44" s="55">
        <v>1063359.48</v>
      </c>
      <c r="AJ44" s="57"/>
      <c r="AK44" s="57"/>
      <c r="AL44" s="57">
        <f>47835.12+654.06</f>
        <v>48489.18</v>
      </c>
      <c r="AM44" s="57">
        <f>11422.88+156.24</f>
        <v>11579.119999999999</v>
      </c>
      <c r="AN44" s="57">
        <v>176735.16</v>
      </c>
      <c r="AO44" s="55">
        <v>70545.023639084829</v>
      </c>
      <c r="AP44" s="55">
        <v>522705.29979836964</v>
      </c>
      <c r="AQ44" s="55"/>
      <c r="AR44" s="55">
        <f t="shared" si="3"/>
        <v>3744102.6192539399</v>
      </c>
      <c r="AS44" s="9">
        <v>3828105.6</v>
      </c>
      <c r="AT44" s="10"/>
      <c r="AU44" s="10"/>
      <c r="AV44" s="9">
        <v>3731623.4499999997</v>
      </c>
      <c r="AW44" s="9">
        <f t="shared" si="2"/>
        <v>1190633.0600000019</v>
      </c>
      <c r="AX44" s="9">
        <f t="shared" si="1"/>
        <v>354997.20074605988</v>
      </c>
      <c r="AY44" s="9">
        <v>367476.37</v>
      </c>
      <c r="AZ44" s="9">
        <v>1094150.910000002</v>
      </c>
      <c r="BA44" s="5"/>
      <c r="BB44" s="5"/>
      <c r="BC44" s="5"/>
    </row>
    <row r="45" spans="1:55" s="7" customFormat="1">
      <c r="A45" s="3" t="s">
        <v>43</v>
      </c>
      <c r="B45" s="55">
        <v>6585.5</v>
      </c>
      <c r="C45" s="53">
        <v>261923.47310740824</v>
      </c>
      <c r="D45" s="54">
        <v>103495.88561288215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>
        <v>93454.775263852716</v>
      </c>
      <c r="Q45" s="70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>
        <v>208445.27000000002</v>
      </c>
      <c r="AE45" s="55">
        <f>3260.26+121516.66+84600</f>
        <v>209376.91999999998</v>
      </c>
      <c r="AF45" s="55">
        <v>90139.957551923668</v>
      </c>
      <c r="AG45" s="55"/>
      <c r="AH45" s="55">
        <f>1206.432+6996</f>
        <v>8202.4320000000007</v>
      </c>
      <c r="AI45" s="55">
        <v>503826.6</v>
      </c>
      <c r="AJ45" s="57"/>
      <c r="AK45" s="57"/>
      <c r="AL45" s="57">
        <v>24448.92</v>
      </c>
      <c r="AM45" s="57">
        <v>5772.78</v>
      </c>
      <c r="AN45" s="57">
        <v>124716.55</v>
      </c>
      <c r="AO45" s="55">
        <v>34635.228150736075</v>
      </c>
      <c r="AP45" s="55">
        <v>246605.62044982828</v>
      </c>
      <c r="AQ45" s="55"/>
      <c r="AR45" s="55">
        <f t="shared" si="3"/>
        <v>1915044.4121366311</v>
      </c>
      <c r="AS45" s="9">
        <v>1864416.97</v>
      </c>
      <c r="AT45" s="10"/>
      <c r="AU45" s="10">
        <v>154249.79999999999</v>
      </c>
      <c r="AV45" s="9">
        <v>1835002.7699999998</v>
      </c>
      <c r="AW45" s="9">
        <f t="shared" si="2"/>
        <v>292920.94000000018</v>
      </c>
      <c r="AX45" s="9">
        <f t="shared" si="1"/>
        <v>-77519.222136631375</v>
      </c>
      <c r="AY45" s="9">
        <v>2522.42</v>
      </c>
      <c r="AZ45" s="9">
        <v>263506.74</v>
      </c>
      <c r="BA45" s="6"/>
      <c r="BB45" s="6"/>
      <c r="BC45" s="6"/>
    </row>
    <row r="46" spans="1:55">
      <c r="A46" s="2" t="s">
        <v>44</v>
      </c>
      <c r="B46" s="55">
        <v>3115</v>
      </c>
      <c r="C46" s="53">
        <v>128380.8247415347</v>
      </c>
      <c r="D46" s="54">
        <v>48954.473264615881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>
        <v>37219.328096105273</v>
      </c>
      <c r="Q46" s="70"/>
      <c r="R46" s="55"/>
      <c r="S46" s="55"/>
      <c r="T46" s="55"/>
      <c r="U46" s="55">
        <v>61</v>
      </c>
      <c r="V46" s="55">
        <v>12200</v>
      </c>
      <c r="W46" s="55">
        <v>4</v>
      </c>
      <c r="X46" s="55">
        <v>1600</v>
      </c>
      <c r="Y46" s="55"/>
      <c r="Z46" s="55"/>
      <c r="AA46" s="55"/>
      <c r="AB46" s="55"/>
      <c r="AC46" s="55"/>
      <c r="AD46" s="55">
        <v>98681.71</v>
      </c>
      <c r="AE46" s="55">
        <f>13701.12+9153.28+6901.44</f>
        <v>29755.84</v>
      </c>
      <c r="AF46" s="55">
        <v>31624.601071098979</v>
      </c>
      <c r="AG46" s="55"/>
      <c r="AH46" s="55">
        <f>1090.32+4474.56</f>
        <v>5564.88</v>
      </c>
      <c r="AI46" s="55"/>
      <c r="AJ46" s="57"/>
      <c r="AK46" s="57"/>
      <c r="AL46" s="57">
        <v>7386.66</v>
      </c>
      <c r="AM46" s="57">
        <v>1890.48</v>
      </c>
      <c r="AN46" s="57">
        <v>14171.36</v>
      </c>
      <c r="AO46" s="55">
        <v>12877.019883766283</v>
      </c>
      <c r="AP46" s="55">
        <v>111812.81225437933</v>
      </c>
      <c r="AQ46" s="55"/>
      <c r="AR46" s="55">
        <f t="shared" si="3"/>
        <v>542119.98931150045</v>
      </c>
      <c r="AS46" s="9">
        <v>540012.05999999994</v>
      </c>
      <c r="AT46" s="10"/>
      <c r="AU46" s="10"/>
      <c r="AV46" s="9">
        <v>512745.52999999997</v>
      </c>
      <c r="AW46" s="9">
        <f t="shared" si="2"/>
        <v>92829.369999999937</v>
      </c>
      <c r="AX46" s="9">
        <f t="shared" si="1"/>
        <v>56661.400688499562</v>
      </c>
      <c r="AY46" s="9">
        <v>86035.86</v>
      </c>
      <c r="AZ46" s="9">
        <v>65562.839999999967</v>
      </c>
      <c r="BA46" s="5"/>
      <c r="BB46" s="5"/>
      <c r="BC46" s="5"/>
    </row>
    <row r="47" spans="1:55">
      <c r="A47" s="3" t="s">
        <v>45</v>
      </c>
      <c r="B47" s="55">
        <v>6192.5</v>
      </c>
      <c r="C47" s="53">
        <v>176684.10260961589</v>
      </c>
      <c r="D47" s="54">
        <v>97319.606963445854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>
        <v>132398.70214161539</v>
      </c>
      <c r="Q47" s="70">
        <v>500</v>
      </c>
      <c r="R47" s="55">
        <v>120000.16</v>
      </c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>
        <v>195644.42</v>
      </c>
      <c r="AE47" s="55">
        <f>78374.08+2173.6+56400</f>
        <v>136947.68</v>
      </c>
      <c r="AF47" s="55">
        <v>63326.76994792308</v>
      </c>
      <c r="AG47" s="55"/>
      <c r="AH47" s="55">
        <f>1117.224</f>
        <v>1117.2239999999999</v>
      </c>
      <c r="AI47" s="55">
        <v>332077.92</v>
      </c>
      <c r="AJ47" s="57">
        <v>36801.120000000003</v>
      </c>
      <c r="AK47" s="59"/>
      <c r="AL47" s="59">
        <f>44030.92+4111.26</f>
        <v>48142.18</v>
      </c>
      <c r="AM47" s="57">
        <f>11174.14+1043.16</f>
        <v>12217.3</v>
      </c>
      <c r="AN47" s="57">
        <v>112000.64</v>
      </c>
      <c r="AO47" s="55">
        <v>28691.096646941482</v>
      </c>
      <c r="AP47" s="55">
        <v>241548.77219429985</v>
      </c>
      <c r="AQ47" s="55"/>
      <c r="AR47" s="55">
        <f t="shared" si="3"/>
        <v>1734917.6945038417</v>
      </c>
      <c r="AS47" s="9">
        <v>1413981.31</v>
      </c>
      <c r="AT47" s="10"/>
      <c r="AU47" s="10"/>
      <c r="AV47" s="10">
        <v>1306199.42</v>
      </c>
      <c r="AW47" s="9">
        <f t="shared" si="2"/>
        <v>1419682.3400000008</v>
      </c>
      <c r="AX47" s="9">
        <f t="shared" si="1"/>
        <v>-332988.36450384185</v>
      </c>
      <c r="AY47" s="9">
        <v>95729.91</v>
      </c>
      <c r="AZ47" s="9">
        <v>1311900.4500000004</v>
      </c>
      <c r="BA47" s="5"/>
      <c r="BB47" s="5"/>
      <c r="BC47" s="5"/>
    </row>
    <row r="48" spans="1:55" s="7" customFormat="1">
      <c r="A48" s="3" t="s">
        <v>46</v>
      </c>
      <c r="B48" s="55">
        <v>14650.7</v>
      </c>
      <c r="C48" s="53">
        <v>545366.69196439243</v>
      </c>
      <c r="D48" s="54">
        <v>230246.32470558843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>
        <v>266795.92349425668</v>
      </c>
      <c r="Q48" s="70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>
        <v>461911.72</v>
      </c>
      <c r="AE48" s="55">
        <v>264794.88</v>
      </c>
      <c r="AF48" s="55">
        <v>234392.41466620797</v>
      </c>
      <c r="AG48" s="55"/>
      <c r="AH48" s="55">
        <f>5084.856+6785.82</f>
        <v>11870.675999999999</v>
      </c>
      <c r="AI48" s="55"/>
      <c r="AJ48" s="57">
        <v>91849.59</v>
      </c>
      <c r="AK48" s="57"/>
      <c r="AL48" s="57">
        <v>38891.279999999999</v>
      </c>
      <c r="AM48" s="57">
        <v>9931.32</v>
      </c>
      <c r="AN48" s="57">
        <v>92427.02</v>
      </c>
      <c r="AO48" s="55">
        <v>68054.73562250231</v>
      </c>
      <c r="AP48" s="55">
        <v>541511.63582511572</v>
      </c>
      <c r="AQ48" s="55"/>
      <c r="AR48" s="55">
        <f t="shared" si="3"/>
        <v>2858044.2122780629</v>
      </c>
      <c r="AS48" s="9">
        <v>2823736.34</v>
      </c>
      <c r="AT48" s="10">
        <v>19250.79</v>
      </c>
      <c r="AU48" s="10">
        <f>420831.98+66833.98</f>
        <v>487665.95999999996</v>
      </c>
      <c r="AV48" s="9">
        <v>2852693.13</v>
      </c>
      <c r="AW48" s="9">
        <f t="shared" si="2"/>
        <v>591663.91000000015</v>
      </c>
      <c r="AX48" s="9">
        <f t="shared" si="1"/>
        <v>-4991.1622780631296</v>
      </c>
      <c r="AY48" s="9">
        <v>359.92</v>
      </c>
      <c r="AZ48" s="9">
        <v>620620.69999999995</v>
      </c>
      <c r="BA48" s="6"/>
      <c r="BB48" s="6"/>
      <c r="BC48" s="6"/>
    </row>
    <row r="49" spans="1:55">
      <c r="A49" s="2" t="s">
        <v>48</v>
      </c>
      <c r="B49" s="55">
        <v>4650.8999999999996</v>
      </c>
      <c r="C49" s="53">
        <v>152661.76639639284</v>
      </c>
      <c r="D49" s="54">
        <v>73092.250307031136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>
        <v>50608.399724615083</v>
      </c>
      <c r="Q49" s="70">
        <v>135</v>
      </c>
      <c r="R49" s="55">
        <v>25296.240000000002</v>
      </c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>
        <v>146441.66</v>
      </c>
      <c r="AE49" s="55">
        <f>82202.88+5714.4</f>
        <v>87917.28</v>
      </c>
      <c r="AF49" s="55">
        <v>46884.183827546127</v>
      </c>
      <c r="AG49" s="55">
        <f>31408.47+2400</f>
        <v>33808.47</v>
      </c>
      <c r="AH49" s="55">
        <f>1493.88+5772</f>
        <v>7265.88</v>
      </c>
      <c r="AI49" s="55"/>
      <c r="AJ49" s="57"/>
      <c r="AK49" s="57"/>
      <c r="AL49" s="57">
        <v>11046.8</v>
      </c>
      <c r="AM49" s="57">
        <v>2826.95</v>
      </c>
      <c r="AN49" s="57">
        <v>21683.87</v>
      </c>
      <c r="AO49" s="55">
        <v>19787.36246818896</v>
      </c>
      <c r="AP49" s="55">
        <v>172454.95624844072</v>
      </c>
      <c r="AQ49" s="55"/>
      <c r="AR49" s="55">
        <f t="shared" si="3"/>
        <v>851776.06897221482</v>
      </c>
      <c r="AS49" s="9">
        <v>836642.97</v>
      </c>
      <c r="AT49" s="10">
        <v>9143.0400000000009</v>
      </c>
      <c r="AU49" s="10"/>
      <c r="AV49" s="9">
        <v>823280.46</v>
      </c>
      <c r="AW49" s="9">
        <f t="shared" si="2"/>
        <v>228221.64999999991</v>
      </c>
      <c r="AX49" s="9">
        <f t="shared" si="1"/>
        <v>-25691.558972214814</v>
      </c>
      <c r="AY49" s="9">
        <v>2804.05</v>
      </c>
      <c r="AZ49" s="9">
        <v>214859.14</v>
      </c>
      <c r="BA49" s="5"/>
      <c r="BB49" s="5"/>
      <c r="BC49" s="5"/>
    </row>
    <row r="50" spans="1:55">
      <c r="A50" s="2" t="s">
        <v>47</v>
      </c>
      <c r="B50" s="55">
        <v>2175</v>
      </c>
      <c r="C50" s="53">
        <v>59050.311860301117</v>
      </c>
      <c r="D50" s="54">
        <v>34181.694815582516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>
        <v>23451.206134519733</v>
      </c>
      <c r="Q50" s="70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>
        <v>69421.039999999994</v>
      </c>
      <c r="AE50" s="55">
        <v>35704.32</v>
      </c>
      <c r="AF50" s="55">
        <v>22460.4593959423</v>
      </c>
      <c r="AG50" s="55"/>
      <c r="AH50" s="55">
        <v>1127.136</v>
      </c>
      <c r="AI50" s="55">
        <v>165057.12</v>
      </c>
      <c r="AJ50" s="57"/>
      <c r="AK50" s="57"/>
      <c r="AL50" s="57">
        <v>8034.54</v>
      </c>
      <c r="AM50" s="57">
        <v>1897.02</v>
      </c>
      <c r="AN50" s="57">
        <v>43472.72</v>
      </c>
      <c r="AO50" s="55">
        <v>10519.600994283039</v>
      </c>
      <c r="AP50" s="55">
        <v>78390.19423861157</v>
      </c>
      <c r="AQ50" s="55"/>
      <c r="AR50" s="55">
        <f t="shared" si="3"/>
        <v>552767.36343924026</v>
      </c>
      <c r="AS50" s="9">
        <v>570372.43999999994</v>
      </c>
      <c r="AT50" s="10"/>
      <c r="AU50" s="10"/>
      <c r="AV50" s="9">
        <v>562470.01</v>
      </c>
      <c r="AW50" s="9">
        <f t="shared" si="2"/>
        <v>105203.47000000009</v>
      </c>
      <c r="AX50" s="9">
        <f t="shared" si="1"/>
        <v>67361.166560759768</v>
      </c>
      <c r="AY50" s="9">
        <v>57658.52</v>
      </c>
      <c r="AZ50" s="9">
        <v>97301.040000000154</v>
      </c>
      <c r="BA50" s="5"/>
      <c r="BB50" s="5"/>
      <c r="BC50" s="5"/>
    </row>
    <row r="51" spans="1:55">
      <c r="A51" s="2" t="s">
        <v>49</v>
      </c>
      <c r="B51" s="55">
        <v>4574.8</v>
      </c>
      <c r="C51" s="53">
        <v>137602.90354173127</v>
      </c>
      <c r="D51" s="54">
        <v>71896.283881529613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>
        <v>0</v>
      </c>
      <c r="Q51" s="70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>
        <v>143877.19</v>
      </c>
      <c r="AE51" s="55">
        <f>13390.08+26941.44+3367.68</f>
        <v>43699.199999999997</v>
      </c>
      <c r="AF51" s="55">
        <v>46182.501366631011</v>
      </c>
      <c r="AG51" s="55"/>
      <c r="AH51" s="55">
        <v>1978.152</v>
      </c>
      <c r="AI51" s="55"/>
      <c r="AJ51" s="57"/>
      <c r="AK51" s="57"/>
      <c r="AL51" s="57">
        <v>10839.18</v>
      </c>
      <c r="AM51" s="57">
        <v>2774.4</v>
      </c>
      <c r="AN51" s="57">
        <v>17384.669999999998</v>
      </c>
      <c r="AO51" s="55">
        <v>19184.395042136115</v>
      </c>
      <c r="AP51" s="55">
        <v>163311.0847516323</v>
      </c>
      <c r="AQ51" s="55"/>
      <c r="AR51" s="55">
        <f t="shared" si="3"/>
        <v>658729.96058366029</v>
      </c>
      <c r="AS51" s="9">
        <v>789036.93</v>
      </c>
      <c r="AT51" s="10"/>
      <c r="AU51" s="10"/>
      <c r="AV51" s="9">
        <v>773509.95000000007</v>
      </c>
      <c r="AW51" s="9">
        <f t="shared" si="2"/>
        <v>248953.50999999978</v>
      </c>
      <c r="AX51" s="9">
        <f t="shared" si="1"/>
        <v>166748.84941633977</v>
      </c>
      <c r="AY51" s="9">
        <v>51968.86</v>
      </c>
      <c r="AZ51" s="9">
        <v>233426.5299999998</v>
      </c>
      <c r="BA51" s="5"/>
      <c r="BB51" s="5"/>
      <c r="BC51" s="5"/>
    </row>
    <row r="52" spans="1:55">
      <c r="A52" s="2" t="s">
        <v>50</v>
      </c>
      <c r="B52" s="55">
        <v>1532.6</v>
      </c>
      <c r="C52" s="53">
        <v>47113.91413159424</v>
      </c>
      <c r="D52" s="54">
        <v>24085.915160626097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>
        <v>0</v>
      </c>
      <c r="Q52" s="70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>
        <v>49180.270000000004</v>
      </c>
      <c r="AE52" s="55">
        <v>26711.040000000001</v>
      </c>
      <c r="AF52" s="55">
        <v>15755.206184150973</v>
      </c>
      <c r="AG52" s="55"/>
      <c r="AH52" s="55">
        <f>996.864+4200</f>
        <v>5196.8639999999996</v>
      </c>
      <c r="AI52" s="55"/>
      <c r="AJ52" s="57"/>
      <c r="AK52" s="57"/>
      <c r="AL52" s="57">
        <v>4341.3599999999997</v>
      </c>
      <c r="AM52" s="57">
        <v>1085.28</v>
      </c>
      <c r="AN52" s="57">
        <v>10184.68</v>
      </c>
      <c r="AO52" s="55">
        <v>7083.1190298106594</v>
      </c>
      <c r="AP52" s="55">
        <v>53916.183390389007</v>
      </c>
      <c r="AQ52" s="55"/>
      <c r="AR52" s="55">
        <f t="shared" si="3"/>
        <v>244653.83189657098</v>
      </c>
      <c r="AS52" s="9">
        <v>278882.56</v>
      </c>
      <c r="AT52" s="10"/>
      <c r="AU52" s="10"/>
      <c r="AV52" s="9">
        <v>255912.49</v>
      </c>
      <c r="AW52" s="9">
        <f t="shared" si="2"/>
        <v>68342.550000000105</v>
      </c>
      <c r="AX52" s="9">
        <f t="shared" si="1"/>
        <v>41715.73810342903</v>
      </c>
      <c r="AY52" s="9">
        <v>30457.08</v>
      </c>
      <c r="AZ52" s="9">
        <v>45372.480000000098</v>
      </c>
      <c r="BA52" s="5"/>
      <c r="BB52" s="5"/>
      <c r="BC52" s="5"/>
    </row>
    <row r="53" spans="1:55">
      <c r="A53" s="2" t="s">
        <v>91</v>
      </c>
      <c r="B53" s="55">
        <v>3770.2</v>
      </c>
      <c r="C53" s="53">
        <v>93995.972524113662</v>
      </c>
      <c r="D53" s="54">
        <v>59251.414158027219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>
        <v>42541.211488904046</v>
      </c>
      <c r="Q53" s="70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>
        <v>121427.66</v>
      </c>
      <c r="AE53" s="55">
        <v>65896.320000000007</v>
      </c>
      <c r="AF53" s="55">
        <v>37743.070228669458</v>
      </c>
      <c r="AG53" s="55"/>
      <c r="AH53" s="55">
        <v>1098.2496000000001</v>
      </c>
      <c r="AI53" s="55"/>
      <c r="AJ53" s="55"/>
      <c r="AK53" s="60">
        <v>89408.85</v>
      </c>
      <c r="AL53" s="61"/>
      <c r="AM53" s="57">
        <f>3295.2+74.28</f>
        <v>3369.48</v>
      </c>
      <c r="AN53" s="57">
        <v>17951.53</v>
      </c>
      <c r="AO53" s="55">
        <v>16543.244726733752</v>
      </c>
      <c r="AP53" s="55">
        <v>147953.88029260383</v>
      </c>
      <c r="AQ53" s="55"/>
      <c r="AR53" s="55">
        <f t="shared" si="3"/>
        <v>697180.88301905198</v>
      </c>
      <c r="AS53" s="9">
        <v>769787.75</v>
      </c>
      <c r="AT53" s="10">
        <v>1807.06</v>
      </c>
      <c r="AU53" s="10"/>
      <c r="AV53" s="9">
        <v>834007.34000000008</v>
      </c>
      <c r="AW53" s="9">
        <f>AZ53+AS53-AV53</f>
        <v>27625.89000000013</v>
      </c>
      <c r="AX53" s="9">
        <f t="shared" si="1"/>
        <v>195924.04698094807</v>
      </c>
      <c r="AY53" s="9">
        <v>59097.59</v>
      </c>
      <c r="AZ53" s="9">
        <v>91845.480000000214</v>
      </c>
      <c r="BA53" s="5"/>
      <c r="BB53" s="5"/>
      <c r="BC53" s="5"/>
    </row>
    <row r="54" spans="1:55">
      <c r="A54" s="2" t="s">
        <v>51</v>
      </c>
      <c r="B54" s="55">
        <v>5335</v>
      </c>
      <c r="C54" s="53">
        <v>165983.67180997998</v>
      </c>
      <c r="D54" s="54">
        <v>83843.375559141496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>
        <v>82300.02677133921</v>
      </c>
      <c r="Q54" s="70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>
        <v>149046.21</v>
      </c>
      <c r="AE54" s="55">
        <f>78891.74+2173.6+56400</f>
        <v>137465.34000000003</v>
      </c>
      <c r="AF54" s="55">
        <v>53169.684100171122</v>
      </c>
      <c r="AG54" s="55"/>
      <c r="AH54" s="55">
        <v>2140.9920000000002</v>
      </c>
      <c r="AI54" s="55">
        <v>351279.24</v>
      </c>
      <c r="AJ54" s="57"/>
      <c r="AK54" s="57"/>
      <c r="AL54" s="57">
        <f>11899.62+1554.9</f>
        <v>13454.52</v>
      </c>
      <c r="AM54" s="57">
        <f>2865.12+374.28</f>
        <v>3239.3999999999996</v>
      </c>
      <c r="AN54" s="57">
        <v>17794.45</v>
      </c>
      <c r="AO54" s="55">
        <v>23861.406622758626</v>
      </c>
      <c r="AP54" s="55">
        <v>187370.66927034149</v>
      </c>
      <c r="AQ54" s="55"/>
      <c r="AR54" s="55">
        <f t="shared" si="3"/>
        <v>1270948.9861337319</v>
      </c>
      <c r="AS54" s="9">
        <v>1281978.71</v>
      </c>
      <c r="AT54" s="10"/>
      <c r="AU54" s="10"/>
      <c r="AV54" s="10">
        <v>1295292.78</v>
      </c>
      <c r="AW54" s="9">
        <f t="shared" si="2"/>
        <v>22828.059999999823</v>
      </c>
      <c r="AX54" s="9">
        <f t="shared" si="1"/>
        <v>18965.663866268238</v>
      </c>
      <c r="AY54" s="9">
        <v>-5378.13</v>
      </c>
      <c r="AZ54" s="9">
        <v>36142.129999999888</v>
      </c>
      <c r="BA54" s="5"/>
      <c r="BB54" s="5"/>
      <c r="BC54" s="5"/>
    </row>
    <row r="55" spans="1:55" s="7" customFormat="1">
      <c r="A55" s="3" t="s">
        <v>52</v>
      </c>
      <c r="B55" s="55">
        <v>7562.2</v>
      </c>
      <c r="C55" s="53">
        <v>277540.5861837283</v>
      </c>
      <c r="D55" s="54">
        <v>118845.43105029798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>
        <v>97898.446253087386</v>
      </c>
      <c r="Q55" s="70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>
        <v>239033.06999999998</v>
      </c>
      <c r="AE55" s="55">
        <v>133142.39999999999</v>
      </c>
      <c r="AF55" s="55">
        <v>79444.233473744025</v>
      </c>
      <c r="AG55" s="55"/>
      <c r="AH55" s="55">
        <v>2949.5279999999998</v>
      </c>
      <c r="AI55" s="55"/>
      <c r="AJ55" s="57"/>
      <c r="AK55" s="57"/>
      <c r="AL55" s="57">
        <v>24957</v>
      </c>
      <c r="AM55" s="57">
        <v>5824.08</v>
      </c>
      <c r="AN55" s="57">
        <v>53072.72</v>
      </c>
      <c r="AO55" s="55">
        <v>31855.787480904459</v>
      </c>
      <c r="AP55" s="55">
        <v>269109.85033067974</v>
      </c>
      <c r="AQ55" s="55"/>
      <c r="AR55" s="55">
        <f t="shared" si="3"/>
        <v>1333673.1327724417</v>
      </c>
      <c r="AS55" s="9">
        <v>1395704.3599999999</v>
      </c>
      <c r="AT55" s="10"/>
      <c r="AU55" s="10"/>
      <c r="AV55" s="9">
        <v>1377452.38</v>
      </c>
      <c r="AW55" s="9">
        <f t="shared" si="2"/>
        <v>181584.30999999982</v>
      </c>
      <c r="AX55" s="9">
        <f t="shared" si="1"/>
        <v>139051.97722755815</v>
      </c>
      <c r="AY55" s="9">
        <v>95272.73</v>
      </c>
      <c r="AZ55" s="9">
        <v>163332.32999999984</v>
      </c>
      <c r="BA55" s="6"/>
      <c r="BB55" s="6"/>
      <c r="BC55" s="6"/>
    </row>
    <row r="56" spans="1:55" s="7" customFormat="1">
      <c r="A56" s="3" t="s">
        <v>53</v>
      </c>
      <c r="B56" s="55">
        <v>5830.3</v>
      </c>
      <c r="C56" s="53">
        <v>221139.4873289534</v>
      </c>
      <c r="D56" s="54">
        <v>91627.372544041733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>
        <v>62228.926002800181</v>
      </c>
      <c r="Q56" s="70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>
        <v>183489.05</v>
      </c>
      <c r="AE56" s="55">
        <v>106016.64</v>
      </c>
      <c r="AF56" s="55">
        <v>58705.236398953566</v>
      </c>
      <c r="AG56" s="55"/>
      <c r="AH56" s="55">
        <f>2088.6+2400</f>
        <v>4488.6000000000004</v>
      </c>
      <c r="AI56" s="55"/>
      <c r="AJ56" s="57"/>
      <c r="AK56" s="57"/>
      <c r="AL56" s="57">
        <v>17859.099999999999</v>
      </c>
      <c r="AM56" s="57">
        <v>4387.3599999999997</v>
      </c>
      <c r="AN56" s="57">
        <v>44652.29</v>
      </c>
      <c r="AO56" s="55">
        <v>24259.338319525705</v>
      </c>
      <c r="AP56" s="55">
        <v>205798.38623971358</v>
      </c>
      <c r="AQ56" s="55"/>
      <c r="AR56" s="55">
        <f t="shared" si="3"/>
        <v>1024651.786833988</v>
      </c>
      <c r="AS56" s="9">
        <v>1055054.3899999999</v>
      </c>
      <c r="AT56" s="10"/>
      <c r="AU56" s="10"/>
      <c r="AV56" s="9">
        <v>1035416.43</v>
      </c>
      <c r="AW56" s="9">
        <f t="shared" si="2"/>
        <v>118479.27999999991</v>
      </c>
      <c r="AX56" s="9">
        <f t="shared" si="1"/>
        <v>98986.613166012103</v>
      </c>
      <c r="AY56" s="9">
        <v>88221.97</v>
      </c>
      <c r="AZ56" s="9">
        <v>98841.320000000065</v>
      </c>
      <c r="BA56" s="6"/>
      <c r="BB56" s="6"/>
      <c r="BC56" s="6"/>
    </row>
    <row r="57" spans="1:55" s="7" customFormat="1">
      <c r="A57" s="3" t="s">
        <v>54</v>
      </c>
      <c r="B57" s="55">
        <v>2880.4</v>
      </c>
      <c r="C57" s="53">
        <v>87838.088960409805</v>
      </c>
      <c r="D57" s="54">
        <v>45267.56494105926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>
        <v>0</v>
      </c>
      <c r="Q57" s="7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>
        <v>91205.119999999995</v>
      </c>
      <c r="AE57" s="55">
        <v>49587.839999999997</v>
      </c>
      <c r="AF57" s="55">
        <v>29275.693062115406</v>
      </c>
      <c r="AG57" s="55"/>
      <c r="AH57" s="55">
        <f>1161.12+1064.69</f>
        <v>2225.81</v>
      </c>
      <c r="AI57" s="55"/>
      <c r="AJ57" s="57"/>
      <c r="AK57" s="57"/>
      <c r="AL57" s="57">
        <v>9453.1200000000008</v>
      </c>
      <c r="AM57" s="57">
        <v>2170.1999999999998</v>
      </c>
      <c r="AN57" s="57">
        <v>11791.08</v>
      </c>
      <c r="AO57" s="55">
        <v>12141.399001348444</v>
      </c>
      <c r="AP57" s="55">
        <v>102044.15297512495</v>
      </c>
      <c r="AQ57" s="55"/>
      <c r="AR57" s="55">
        <f t="shared" si="3"/>
        <v>443000.06894005783</v>
      </c>
      <c r="AS57" s="9">
        <v>512165.28</v>
      </c>
      <c r="AT57" s="10"/>
      <c r="AU57" s="10"/>
      <c r="AV57" s="9">
        <v>491683.66000000003</v>
      </c>
      <c r="AW57" s="9">
        <f t="shared" si="2"/>
        <v>163802.37999999989</v>
      </c>
      <c r="AX57" s="9">
        <f t="shared" si="1"/>
        <v>-92470.148940057785</v>
      </c>
      <c r="AY57" s="9">
        <v>-141153.74</v>
      </c>
      <c r="AZ57" s="9">
        <v>143320.75999999989</v>
      </c>
      <c r="BA57" s="6"/>
      <c r="BB57" s="6"/>
      <c r="BC57" s="6"/>
    </row>
    <row r="58" spans="1:55">
      <c r="A58" s="2" t="s">
        <v>55</v>
      </c>
      <c r="B58" s="55">
        <v>9176.5</v>
      </c>
      <c r="C58" s="53">
        <v>303447.47671855317</v>
      </c>
      <c r="D58" s="54">
        <v>144215.32067824964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>
        <v>129640.54493030818</v>
      </c>
      <c r="Q58" s="70"/>
      <c r="R58" s="55"/>
      <c r="S58" s="55"/>
      <c r="T58" s="55"/>
      <c r="U58" s="55">
        <v>94</v>
      </c>
      <c r="V58" s="55">
        <v>24300</v>
      </c>
      <c r="W58" s="55"/>
      <c r="X58" s="55"/>
      <c r="Y58" s="55"/>
      <c r="Z58" s="55"/>
      <c r="AA58" s="55"/>
      <c r="AB58" s="55"/>
      <c r="AC58" s="55"/>
      <c r="AD58" s="55">
        <v>289716.86</v>
      </c>
      <c r="AE58" s="55">
        <f>166759.98+4347.02+112800</f>
        <v>283907</v>
      </c>
      <c r="AF58" s="55">
        <v>91045.34903368853</v>
      </c>
      <c r="AG58" s="55"/>
      <c r="AH58" s="55">
        <f>1605.744+13608</f>
        <v>15213.744000000001</v>
      </c>
      <c r="AI58" s="55">
        <v>698903.28</v>
      </c>
      <c r="AJ58" s="57">
        <v>77751.600000000006</v>
      </c>
      <c r="AK58" s="57"/>
      <c r="AL58" s="57">
        <f>33323.78+605.22</f>
        <v>33929</v>
      </c>
      <c r="AM58" s="57">
        <f>7867.82+142.92</f>
        <v>8010.74</v>
      </c>
      <c r="AN58" s="57">
        <v>51926.25</v>
      </c>
      <c r="AO58" s="55">
        <v>46459.962696109564</v>
      </c>
      <c r="AP58" s="55">
        <v>342996.89836350305</v>
      </c>
      <c r="AQ58" s="55"/>
      <c r="AR58" s="55">
        <f t="shared" si="3"/>
        <v>2541464.0264204121</v>
      </c>
      <c r="AS58" s="9">
        <v>2548762.77</v>
      </c>
      <c r="AT58" s="10"/>
      <c r="AU58" s="10"/>
      <c r="AV58" s="9">
        <v>2577348.38</v>
      </c>
      <c r="AW58" s="9">
        <f t="shared" si="2"/>
        <v>437485.90999999875</v>
      </c>
      <c r="AX58" s="9">
        <f t="shared" si="1"/>
        <v>48532.933579587843</v>
      </c>
      <c r="AY58" s="9">
        <v>12648.58</v>
      </c>
      <c r="AZ58" s="9">
        <v>466071.51999999862</v>
      </c>
      <c r="BA58" s="5"/>
      <c r="BB58" s="5"/>
      <c r="BC58" s="5"/>
    </row>
    <row r="59" spans="1:55">
      <c r="A59" s="2" t="s">
        <v>56</v>
      </c>
      <c r="B59" s="55">
        <v>2437.1</v>
      </c>
      <c r="C59" s="53">
        <v>102272.63513529187</v>
      </c>
      <c r="D59" s="54">
        <v>38300.785487382134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>
        <v>0</v>
      </c>
      <c r="Q59" s="70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>
        <v>78652.76999999999</v>
      </c>
      <c r="AE59" s="55">
        <f>1086.74+42203.9+28200</f>
        <v>71490.64</v>
      </c>
      <c r="AF59" s="55">
        <v>24508.407334060768</v>
      </c>
      <c r="AG59" s="55"/>
      <c r="AH59" s="55">
        <f>4596+542.328</f>
        <v>5138.3279999999995</v>
      </c>
      <c r="AI59" s="55">
        <v>185176.32000000001</v>
      </c>
      <c r="AJ59" s="57"/>
      <c r="AK59" s="57"/>
      <c r="AL59" s="57">
        <f>8016.9+490.02</f>
        <v>8506.92</v>
      </c>
      <c r="AM59" s="57">
        <f>1886.15+115.32</f>
        <v>2001.47</v>
      </c>
      <c r="AN59" s="57">
        <v>10743.49</v>
      </c>
      <c r="AO59" s="55">
        <v>11827.331498467676</v>
      </c>
      <c r="AP59" s="55">
        <v>92459.605215135743</v>
      </c>
      <c r="AQ59" s="55"/>
      <c r="AR59" s="55">
        <f t="shared" si="3"/>
        <v>631078.7026703381</v>
      </c>
      <c r="AS59" s="9">
        <v>640878.71</v>
      </c>
      <c r="AT59" s="10"/>
      <c r="AU59" s="10"/>
      <c r="AV59" s="9">
        <v>663949.31999999995</v>
      </c>
      <c r="AW59" s="9">
        <f t="shared" si="2"/>
        <v>17101.54999999993</v>
      </c>
      <c r="AX59" s="9">
        <f t="shared" si="1"/>
        <v>30915.097329661832</v>
      </c>
      <c r="AY59" s="9">
        <v>-1955.52</v>
      </c>
      <c r="AZ59" s="9">
        <v>40172.159999999916</v>
      </c>
      <c r="BA59" s="5"/>
      <c r="BB59" s="5"/>
      <c r="BC59" s="5"/>
    </row>
    <row r="60" spans="1:55">
      <c r="A60" s="2" t="s">
        <v>57</v>
      </c>
      <c r="B60" s="55">
        <v>2545.6999999999998</v>
      </c>
      <c r="C60" s="53">
        <v>105054.4445736131</v>
      </c>
      <c r="D60" s="54">
        <v>40007.512869898121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>
        <v>27766.992242136494</v>
      </c>
      <c r="Q60" s="70"/>
      <c r="R60" s="55"/>
      <c r="S60" s="55"/>
      <c r="T60" s="55"/>
      <c r="U60" s="55">
        <v>21</v>
      </c>
      <c r="V60" s="55">
        <v>4200</v>
      </c>
      <c r="W60" s="55"/>
      <c r="X60" s="55"/>
      <c r="Y60" s="55"/>
      <c r="Z60" s="55"/>
      <c r="AA60" s="55"/>
      <c r="AB60" s="55"/>
      <c r="AC60" s="55"/>
      <c r="AD60" s="55">
        <v>80629.240000000005</v>
      </c>
      <c r="AE60" s="55">
        <f>1086.74+44852.39+28200</f>
        <v>74139.13</v>
      </c>
      <c r="AF60" s="55">
        <v>25538.873042280786</v>
      </c>
      <c r="AG60" s="55"/>
      <c r="AH60" s="55">
        <v>447.45600000000002</v>
      </c>
      <c r="AI60" s="55">
        <v>187168.32</v>
      </c>
      <c r="AJ60" s="57"/>
      <c r="AK60" s="57"/>
      <c r="AL60" s="57">
        <f>2088.1+467.28</f>
        <v>2555.38</v>
      </c>
      <c r="AM60" s="57">
        <f>2004.48+13.28</f>
        <v>2017.76</v>
      </c>
      <c r="AN60" s="57">
        <v>21164.89</v>
      </c>
      <c r="AO60" s="55">
        <v>12495.690295699464</v>
      </c>
      <c r="AP60" s="55">
        <v>93059.698717808482</v>
      </c>
      <c r="AQ60" s="55"/>
      <c r="AR60" s="55">
        <f t="shared" si="3"/>
        <v>676245.3877414366</v>
      </c>
      <c r="AS60" s="9">
        <v>662747.41</v>
      </c>
      <c r="AT60" s="10"/>
      <c r="AU60" s="10"/>
      <c r="AV60" s="9">
        <v>648764.48</v>
      </c>
      <c r="AW60" s="9">
        <f t="shared" si="2"/>
        <v>103396.12999999989</v>
      </c>
      <c r="AX60" s="9">
        <f t="shared" si="1"/>
        <v>-3881.6677414366277</v>
      </c>
      <c r="AY60" s="9">
        <v>23599.24</v>
      </c>
      <c r="AZ60" s="9">
        <v>89413.199999999837</v>
      </c>
      <c r="BA60" s="5"/>
      <c r="BB60" s="5"/>
      <c r="BC60" s="5"/>
    </row>
    <row r="61" spans="1:55">
      <c r="A61" s="2" t="s">
        <v>58</v>
      </c>
      <c r="B61" s="55">
        <v>2433.8000000000002</v>
      </c>
      <c r="C61" s="53">
        <v>105507.65981202798</v>
      </c>
      <c r="D61" s="54">
        <v>38248.923605592987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>
        <v>26580.373457560519</v>
      </c>
      <c r="Q61" s="70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>
        <v>77997.689999999988</v>
      </c>
      <c r="AE61" s="55">
        <f>1086.74+42523.96+28200</f>
        <v>71810.7</v>
      </c>
      <c r="AF61" s="55">
        <v>24473.215240164584</v>
      </c>
      <c r="AG61" s="55"/>
      <c r="AH61" s="55">
        <v>455.952</v>
      </c>
      <c r="AI61" s="55">
        <v>186600.59999999998</v>
      </c>
      <c r="AJ61" s="57"/>
      <c r="AK61" s="57"/>
      <c r="AL61" s="57">
        <v>8077.74</v>
      </c>
      <c r="AM61" s="57">
        <v>1900.2</v>
      </c>
      <c r="AN61" s="57">
        <v>12404.99</v>
      </c>
      <c r="AO61" s="55">
        <v>11936.08794385566</v>
      </c>
      <c r="AP61" s="55">
        <v>88087.184611463381</v>
      </c>
      <c r="AQ61" s="55"/>
      <c r="AR61" s="55">
        <f t="shared" si="3"/>
        <v>654081.31667066494</v>
      </c>
      <c r="AS61" s="9">
        <v>658949.69000000006</v>
      </c>
      <c r="AT61" s="10"/>
      <c r="AU61" s="10"/>
      <c r="AV61" s="9">
        <v>694550.63</v>
      </c>
      <c r="AW61" s="9">
        <f t="shared" si="2"/>
        <v>41214.789999999804</v>
      </c>
      <c r="AX61" s="9">
        <f t="shared" si="1"/>
        <v>48996.133329335018</v>
      </c>
      <c r="AY61" s="9">
        <v>8526.82</v>
      </c>
      <c r="AZ61" s="9">
        <v>76815.729999999749</v>
      </c>
      <c r="BA61" s="5"/>
      <c r="BB61" s="5"/>
      <c r="BC61" s="5"/>
    </row>
    <row r="62" spans="1:55">
      <c r="A62" s="2" t="s">
        <v>59</v>
      </c>
      <c r="B62" s="55">
        <v>6560.7</v>
      </c>
      <c r="C62" s="53">
        <v>193890.36127803105</v>
      </c>
      <c r="D62" s="54">
        <v>103106.13571337574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>
        <v>70241.411152525776</v>
      </c>
      <c r="Q62" s="70"/>
      <c r="R62" s="55"/>
      <c r="S62" s="55"/>
      <c r="T62" s="55"/>
      <c r="U62" s="55">
        <v>73</v>
      </c>
      <c r="V62" s="55">
        <v>14600</v>
      </c>
      <c r="W62" s="55"/>
      <c r="X62" s="62"/>
      <c r="Y62" s="55"/>
      <c r="Z62" s="55"/>
      <c r="AA62" s="55"/>
      <c r="AB62" s="55"/>
      <c r="AC62" s="55"/>
      <c r="AD62" s="55">
        <v>206446.21</v>
      </c>
      <c r="AE62" s="55">
        <f>3260.26+121903.3+84600</f>
        <v>209763.56</v>
      </c>
      <c r="AF62" s="55">
        <v>63475.224391976575</v>
      </c>
      <c r="AG62" s="55"/>
      <c r="AH62" s="55">
        <v>1312.6320000000001</v>
      </c>
      <c r="AI62" s="55">
        <v>504649.28</v>
      </c>
      <c r="AJ62" s="57"/>
      <c r="AK62" s="57"/>
      <c r="AL62" s="57">
        <v>22486.02</v>
      </c>
      <c r="AM62" s="57">
        <v>5451</v>
      </c>
      <c r="AN62" s="57">
        <v>59712.83</v>
      </c>
      <c r="AO62" s="55">
        <v>33336.385073651829</v>
      </c>
      <c r="AP62" s="55">
        <v>246795.28651919949</v>
      </c>
      <c r="AQ62" s="55"/>
      <c r="AR62" s="55">
        <f t="shared" si="3"/>
        <v>1735266.3361287606</v>
      </c>
      <c r="AS62" s="9">
        <v>1800032.4500000002</v>
      </c>
      <c r="AT62" s="10"/>
      <c r="AU62" s="10"/>
      <c r="AV62" s="9">
        <v>1785082.74</v>
      </c>
      <c r="AW62" s="9">
        <f t="shared" si="2"/>
        <v>547531.69999999995</v>
      </c>
      <c r="AX62" s="9">
        <f t="shared" si="1"/>
        <v>248069.97387123946</v>
      </c>
      <c r="AY62" s="63">
        <v>198253.57</v>
      </c>
      <c r="AZ62" s="9">
        <v>532581.98999999976</v>
      </c>
      <c r="BA62" s="5"/>
      <c r="BB62" s="5"/>
      <c r="BC62" s="5"/>
    </row>
    <row r="63" spans="1:55" s="76" customFormat="1">
      <c r="A63" s="72" t="s">
        <v>62</v>
      </c>
      <c r="B63" s="54">
        <f>SUM(B3:B62)</f>
        <v>403798.50000000006</v>
      </c>
      <c r="C63" s="70">
        <f t="shared" ref="C63:D63" si="4">SUM(C3:C62)</f>
        <v>13770570.948050046</v>
      </c>
      <c r="D63" s="54">
        <f t="shared" si="4"/>
        <v>6340544.2658424936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>
        <f t="shared" ref="P63:AP63" si="5">SUM(P3:P62)</f>
        <v>4653094.0778754326</v>
      </c>
      <c r="Q63" s="71">
        <f>SUM(Q3:Q62)</f>
        <v>3300</v>
      </c>
      <c r="R63" s="54">
        <f t="shared" si="5"/>
        <v>703088.18</v>
      </c>
      <c r="S63" s="54">
        <f t="shared" si="5"/>
        <v>0</v>
      </c>
      <c r="T63" s="54">
        <f t="shared" si="5"/>
        <v>0</v>
      </c>
      <c r="U63" s="54">
        <f t="shared" si="5"/>
        <v>765</v>
      </c>
      <c r="V63" s="54">
        <f t="shared" si="5"/>
        <v>203800</v>
      </c>
      <c r="W63" s="54">
        <f t="shared" si="5"/>
        <v>38</v>
      </c>
      <c r="X63" s="54">
        <f t="shared" si="5"/>
        <v>22300</v>
      </c>
      <c r="Y63" s="54">
        <f t="shared" si="5"/>
        <v>0</v>
      </c>
      <c r="Z63" s="54">
        <f t="shared" si="5"/>
        <v>0</v>
      </c>
      <c r="AA63" s="70">
        <f t="shared" si="5"/>
        <v>0</v>
      </c>
      <c r="AB63" s="70">
        <f t="shared" si="5"/>
        <v>1</v>
      </c>
      <c r="AC63" s="70">
        <f t="shared" si="5"/>
        <v>9200</v>
      </c>
      <c r="AD63" s="54">
        <f t="shared" si="5"/>
        <v>12687231.150000002</v>
      </c>
      <c r="AE63" s="54">
        <f>SUM(AE3:AE62)</f>
        <v>7951730.0900000008</v>
      </c>
      <c r="AF63" s="70">
        <f t="shared" si="5"/>
        <v>4441798.2437859364</v>
      </c>
      <c r="AG63" s="70">
        <f t="shared" si="5"/>
        <v>787176.15</v>
      </c>
      <c r="AH63" s="70">
        <f t="shared" si="5"/>
        <v>249436.60320000001</v>
      </c>
      <c r="AI63" s="70">
        <f t="shared" si="5"/>
        <v>10560421.509999998</v>
      </c>
      <c r="AJ63" s="70">
        <f t="shared" si="5"/>
        <v>901545.85999999987</v>
      </c>
      <c r="AK63" s="73">
        <f t="shared" si="5"/>
        <v>89408.85</v>
      </c>
      <c r="AL63" s="73">
        <f>SUM(AL3:AL62)</f>
        <v>1200668.8300000005</v>
      </c>
      <c r="AM63" s="73">
        <f t="shared" si="5"/>
        <v>299206.28000000003</v>
      </c>
      <c r="AN63" s="74">
        <f t="shared" si="5"/>
        <v>2949671.7300000009</v>
      </c>
      <c r="AO63" s="54">
        <f t="shared" si="5"/>
        <v>1805273.1599999997</v>
      </c>
      <c r="AP63" s="54">
        <f t="shared" si="5"/>
        <v>14865910.249999996</v>
      </c>
      <c r="AQ63" s="54"/>
      <c r="AR63" s="54">
        <f>SUM(AR3:AR62)</f>
        <v>84492076.178753898</v>
      </c>
      <c r="AS63" s="54">
        <f>SUM(AS3:AS62)</f>
        <v>85434138.25</v>
      </c>
      <c r="AT63" s="70"/>
      <c r="AU63" s="70"/>
      <c r="AV63" s="54">
        <f>SUM(AV3:AV62)</f>
        <v>85045560.589999989</v>
      </c>
      <c r="AW63" s="54">
        <f>SUM(AW3:AW62)</f>
        <v>15805633.930000003</v>
      </c>
      <c r="AX63" s="54">
        <f>SUM(AX3:AX62)</f>
        <v>4701687.1712460862</v>
      </c>
      <c r="AY63" s="70">
        <f>SUM(AY3:AY62)</f>
        <v>4148202.7600000002</v>
      </c>
      <c r="AZ63" s="54">
        <v>16304333.529999999</v>
      </c>
      <c r="BA63" s="75"/>
    </row>
  </sheetData>
  <mergeCells count="37">
    <mergeCell ref="E1:J1"/>
    <mergeCell ref="A1:A2"/>
    <mergeCell ref="B1:B2"/>
    <mergeCell ref="C1:C2"/>
    <mergeCell ref="D1:D2"/>
    <mergeCell ref="K1:K2"/>
    <mergeCell ref="L1:M1"/>
    <mergeCell ref="AE1:AE2"/>
    <mergeCell ref="AD1:AD2"/>
    <mergeCell ref="P1:P2"/>
    <mergeCell ref="Q1:R1"/>
    <mergeCell ref="S1:T1"/>
    <mergeCell ref="N1:O1"/>
    <mergeCell ref="U1:V1"/>
    <mergeCell ref="W1:X1"/>
    <mergeCell ref="AB1:AC1"/>
    <mergeCell ref="AQ1:AQ2"/>
    <mergeCell ref="AF1:AF2"/>
    <mergeCell ref="AG1:AG2"/>
    <mergeCell ref="AO1:AO2"/>
    <mergeCell ref="AH1:AH2"/>
    <mergeCell ref="AI1:AI2"/>
    <mergeCell ref="AK1:AK2"/>
    <mergeCell ref="AM1:AM2"/>
    <mergeCell ref="AN1:AN2"/>
    <mergeCell ref="AJ1:AJ2"/>
    <mergeCell ref="AL1:AL2"/>
    <mergeCell ref="AP1:AP2"/>
    <mergeCell ref="AY1:AY2"/>
    <mergeCell ref="AZ1:AZ2"/>
    <mergeCell ref="AR1:AR2"/>
    <mergeCell ref="AS1:AS2"/>
    <mergeCell ref="AT1:AT2"/>
    <mergeCell ref="AU1:AU2"/>
    <mergeCell ref="AV1:AV2"/>
    <mergeCell ref="AW1:AW2"/>
    <mergeCell ref="AX1:AX2"/>
  </mergeCells>
  <phoneticPr fontId="2" type="noConversion"/>
  <pageMargins left="0.19685039370078741" right="0.19685039370078741" top="0.31496062992125984" bottom="0.19685039370078741" header="0.15748031496062992" footer="0.15748031496062992"/>
  <pageSetup paperSize="9" scale="8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AW17"/>
  <sheetViews>
    <sheetView workbookViewId="0">
      <pane xSplit="1" topLeftCell="B1" activePane="topRight" state="frozen"/>
      <selection pane="topRight" activeCell="AI21" sqref="AI21"/>
    </sheetView>
  </sheetViews>
  <sheetFormatPr defaultRowHeight="13.2"/>
  <cols>
    <col min="1" max="1" width="19" style="66" customWidth="1"/>
    <col min="2" max="2" width="8.88671875" style="66"/>
    <col min="3" max="3" width="10.33203125" style="66" customWidth="1"/>
    <col min="4" max="4" width="9.33203125" style="66" bestFit="1" customWidth="1"/>
    <col min="5" max="18" width="0" style="66" hidden="1" customWidth="1"/>
    <col min="19" max="19" width="8.88671875" style="66"/>
    <col min="20" max="32" width="0" style="66" hidden="1" customWidth="1"/>
    <col min="33" max="34" width="9.33203125" style="66" bestFit="1" customWidth="1"/>
    <col min="35" max="35" width="8.88671875" style="66"/>
    <col min="36" max="36" width="0" style="66" hidden="1" customWidth="1"/>
    <col min="37" max="39" width="9.33203125" style="66" bestFit="1" customWidth="1"/>
    <col min="40" max="40" width="8.88671875" style="66"/>
    <col min="41" max="41" width="9.33203125" style="66" bestFit="1" customWidth="1"/>
    <col min="42" max="43" width="10.109375" style="66" bestFit="1" customWidth="1"/>
    <col min="44" max="44" width="11.6640625" style="66" customWidth="1"/>
    <col min="45" max="45" width="10.109375" style="66" hidden="1" customWidth="1"/>
    <col min="46" max="46" width="0" style="66" hidden="1" customWidth="1"/>
    <col min="47" max="47" width="10.109375" style="66" bestFit="1" customWidth="1"/>
    <col min="48" max="48" width="9.33203125" style="66" bestFit="1" customWidth="1"/>
    <col min="49" max="49" width="10.6640625" style="66" customWidth="1"/>
    <col min="50" max="16384" width="8.88671875" style="66"/>
  </cols>
  <sheetData>
    <row r="1" spans="1:49" ht="25.5" customHeight="1">
      <c r="A1" s="78" t="s">
        <v>0</v>
      </c>
      <c r="B1" s="78" t="s">
        <v>63</v>
      </c>
      <c r="C1" s="79" t="s">
        <v>101</v>
      </c>
      <c r="D1" s="13" t="s">
        <v>64</v>
      </c>
      <c r="E1" s="80" t="s">
        <v>68</v>
      </c>
      <c r="F1" s="81"/>
      <c r="G1" s="81"/>
      <c r="H1" s="81"/>
      <c r="I1" s="81"/>
      <c r="J1" s="82"/>
      <c r="K1" s="83" t="s">
        <v>69</v>
      </c>
      <c r="L1" s="84" t="s">
        <v>70</v>
      </c>
      <c r="M1" s="84"/>
      <c r="N1" s="84" t="s">
        <v>71</v>
      </c>
      <c r="O1" s="84"/>
      <c r="P1" s="85" t="s">
        <v>107</v>
      </c>
      <c r="Q1" s="85" t="s">
        <v>108</v>
      </c>
      <c r="R1" s="85" t="s">
        <v>72</v>
      </c>
      <c r="S1" s="86" t="s">
        <v>105</v>
      </c>
      <c r="T1" s="87" t="s">
        <v>2</v>
      </c>
      <c r="U1" s="88"/>
      <c r="V1" s="80" t="s">
        <v>67</v>
      </c>
      <c r="W1" s="81"/>
      <c r="X1" s="84" t="s">
        <v>66</v>
      </c>
      <c r="Y1" s="84"/>
      <c r="Z1" s="80" t="s">
        <v>92</v>
      </c>
      <c r="AA1" s="82"/>
      <c r="AB1" s="89" t="s">
        <v>94</v>
      </c>
      <c r="AC1" s="89" t="s">
        <v>73</v>
      </c>
      <c r="AD1" s="89" t="s">
        <v>74</v>
      </c>
      <c r="AE1" s="84" t="s">
        <v>75</v>
      </c>
      <c r="AF1" s="84"/>
      <c r="AG1" s="13" t="s">
        <v>65</v>
      </c>
      <c r="AH1" s="90" t="s">
        <v>95</v>
      </c>
      <c r="AI1" s="90" t="s">
        <v>102</v>
      </c>
      <c r="AJ1" s="90" t="s">
        <v>96</v>
      </c>
      <c r="AK1" s="27" t="s">
        <v>98</v>
      </c>
      <c r="AL1" s="27" t="s">
        <v>106</v>
      </c>
      <c r="AM1" s="27" t="s">
        <v>109</v>
      </c>
      <c r="AN1" s="27" t="s">
        <v>103</v>
      </c>
      <c r="AO1" s="30" t="s">
        <v>97</v>
      </c>
      <c r="AP1" s="27" t="s">
        <v>78</v>
      </c>
      <c r="AQ1" s="91" t="s">
        <v>79</v>
      </c>
      <c r="AR1" s="92" t="s">
        <v>131</v>
      </c>
      <c r="AS1" s="92" t="s">
        <v>99</v>
      </c>
      <c r="AT1" s="92" t="s">
        <v>100</v>
      </c>
      <c r="AU1" s="93" t="s">
        <v>132</v>
      </c>
      <c r="AV1" s="94" t="s">
        <v>133</v>
      </c>
      <c r="AW1" s="95" t="s">
        <v>134</v>
      </c>
    </row>
    <row r="2" spans="1:49" ht="100.8">
      <c r="A2" s="78"/>
      <c r="B2" s="78"/>
      <c r="C2" s="96"/>
      <c r="D2" s="36"/>
      <c r="E2" s="97" t="s">
        <v>80</v>
      </c>
      <c r="F2" s="97" t="s">
        <v>81</v>
      </c>
      <c r="G2" s="97" t="s">
        <v>82</v>
      </c>
      <c r="H2" s="97" t="s">
        <v>81</v>
      </c>
      <c r="I2" s="97"/>
      <c r="J2" s="97" t="s">
        <v>81</v>
      </c>
      <c r="K2" s="98"/>
      <c r="L2" s="97" t="s">
        <v>83</v>
      </c>
      <c r="M2" s="97" t="s">
        <v>81</v>
      </c>
      <c r="N2" s="97" t="s">
        <v>83</v>
      </c>
      <c r="O2" s="97" t="s">
        <v>81</v>
      </c>
      <c r="P2" s="99"/>
      <c r="Q2" s="99"/>
      <c r="R2" s="99"/>
      <c r="S2" s="100"/>
      <c r="T2" s="101" t="s">
        <v>84</v>
      </c>
      <c r="U2" s="101" t="s">
        <v>85</v>
      </c>
      <c r="V2" s="102" t="s">
        <v>86</v>
      </c>
      <c r="W2" s="102" t="s">
        <v>87</v>
      </c>
      <c r="X2" s="102" t="s">
        <v>88</v>
      </c>
      <c r="Y2" s="101" t="s">
        <v>89</v>
      </c>
      <c r="Z2" s="97" t="s">
        <v>84</v>
      </c>
      <c r="AA2" s="97" t="s">
        <v>81</v>
      </c>
      <c r="AB2" s="97" t="s">
        <v>81</v>
      </c>
      <c r="AC2" s="97" t="s">
        <v>84</v>
      </c>
      <c r="AD2" s="97" t="s">
        <v>81</v>
      </c>
      <c r="AE2" s="97" t="s">
        <v>90</v>
      </c>
      <c r="AF2" s="97" t="s">
        <v>81</v>
      </c>
      <c r="AG2" s="36"/>
      <c r="AH2" s="103"/>
      <c r="AI2" s="103"/>
      <c r="AJ2" s="103"/>
      <c r="AK2" s="104"/>
      <c r="AL2" s="104"/>
      <c r="AM2" s="104"/>
      <c r="AN2" s="104"/>
      <c r="AO2" s="105"/>
      <c r="AP2" s="104"/>
      <c r="AQ2" s="106"/>
      <c r="AR2" s="107"/>
      <c r="AS2" s="107"/>
      <c r="AT2" s="107"/>
      <c r="AU2" s="108"/>
      <c r="AV2" s="94"/>
      <c r="AW2" s="95"/>
    </row>
    <row r="3" spans="1:49">
      <c r="A3" s="109" t="s">
        <v>112</v>
      </c>
      <c r="B3" s="109">
        <v>2963.3</v>
      </c>
      <c r="C3" s="110">
        <v>4144.0594000000001</v>
      </c>
      <c r="D3" s="77">
        <v>1987.0230000000001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112"/>
      <c r="R3" s="112"/>
      <c r="S3" s="112">
        <v>0</v>
      </c>
      <c r="T3" s="113"/>
      <c r="U3" s="113"/>
      <c r="V3" s="114"/>
      <c r="W3" s="114"/>
      <c r="X3" s="114"/>
      <c r="Y3" s="113"/>
      <c r="Z3" s="111"/>
      <c r="AA3" s="111"/>
      <c r="AB3" s="111"/>
      <c r="AC3" s="111"/>
      <c r="AD3" s="111"/>
      <c r="AE3" s="111"/>
      <c r="AF3" s="111"/>
      <c r="AG3" s="77">
        <v>6390.3</v>
      </c>
      <c r="AH3" s="115">
        <v>3961.44</v>
      </c>
      <c r="AI3" s="115">
        <v>100.7424</v>
      </c>
      <c r="AJ3" s="115"/>
      <c r="AK3" s="116">
        <f>65.23</f>
        <v>65.23</v>
      </c>
      <c r="AL3" s="116">
        <v>1713.67</v>
      </c>
      <c r="AM3" s="116">
        <v>142.80000000000001</v>
      </c>
      <c r="AN3" s="116"/>
      <c r="AO3" s="116">
        <v>642.37</v>
      </c>
      <c r="AP3" s="116">
        <v>10430.27</v>
      </c>
      <c r="AQ3" s="77">
        <f t="shared" ref="AQ3:AQ16" si="0">C3+D3+S3+U3+W3+Y3+AA3+AB3+AD3+AF3+AG3+AH3+AI3+AJ3+AK3+AL3+AM3+AN3+AO3+AP3</f>
        <v>29577.9048</v>
      </c>
      <c r="AR3" s="117">
        <v>42321.5</v>
      </c>
      <c r="AS3" s="117"/>
      <c r="AT3" s="117"/>
      <c r="AU3" s="117">
        <v>30322.880000000001</v>
      </c>
      <c r="AV3" s="118">
        <f t="shared" ref="AV3:AV15" si="1">AW3+AR3-AU3</f>
        <v>11998.619999999999</v>
      </c>
      <c r="AW3" s="119"/>
    </row>
    <row r="4" spans="1:49">
      <c r="A4" s="109" t="s">
        <v>113</v>
      </c>
      <c r="B4" s="109">
        <v>2647.7</v>
      </c>
      <c r="C4" s="110">
        <v>13730.900800000001</v>
      </c>
      <c r="D4" s="77">
        <v>6039.8376000000007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  <c r="Q4" s="112"/>
      <c r="R4" s="112"/>
      <c r="S4" s="112">
        <v>0</v>
      </c>
      <c r="T4" s="113"/>
      <c r="U4" s="113"/>
      <c r="V4" s="114"/>
      <c r="W4" s="114"/>
      <c r="X4" s="114"/>
      <c r="Y4" s="113"/>
      <c r="Z4" s="111"/>
      <c r="AA4" s="111"/>
      <c r="AB4" s="111"/>
      <c r="AC4" s="111"/>
      <c r="AD4" s="111"/>
      <c r="AE4" s="111"/>
      <c r="AF4" s="111"/>
      <c r="AG4" s="77">
        <f>8953.58</f>
        <v>8953.58</v>
      </c>
      <c r="AH4" s="115">
        <f>4027.2</f>
        <v>4027.2</v>
      </c>
      <c r="AI4" s="115">
        <v>3235.3532000000005</v>
      </c>
      <c r="AJ4" s="115"/>
      <c r="AK4" s="116">
        <f>2400+136.06</f>
        <v>2536.06</v>
      </c>
      <c r="AL4" s="116"/>
      <c r="AM4" s="116">
        <v>447.58</v>
      </c>
      <c r="AN4" s="116">
        <v>1384.18</v>
      </c>
      <c r="AO4" s="116">
        <v>1657.33</v>
      </c>
      <c r="AP4" s="116">
        <v>11914.65</v>
      </c>
      <c r="AQ4" s="77">
        <f t="shared" si="0"/>
        <v>53926.671600000009</v>
      </c>
      <c r="AR4" s="117">
        <v>85550.219999999987</v>
      </c>
      <c r="AS4" s="117"/>
      <c r="AT4" s="117"/>
      <c r="AU4" s="117">
        <v>70359.87999999999</v>
      </c>
      <c r="AV4" s="118">
        <f t="shared" si="1"/>
        <v>15190.339999999997</v>
      </c>
      <c r="AW4" s="119"/>
    </row>
    <row r="5" spans="1:49">
      <c r="A5" s="109" t="s">
        <v>114</v>
      </c>
      <c r="B5" s="109">
        <v>2580.3000000000002</v>
      </c>
      <c r="C5" s="110">
        <v>0</v>
      </c>
      <c r="D5" s="77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2"/>
      <c r="Q5" s="112"/>
      <c r="R5" s="112"/>
      <c r="S5" s="112">
        <v>0</v>
      </c>
      <c r="T5" s="113"/>
      <c r="U5" s="113"/>
      <c r="V5" s="114"/>
      <c r="W5" s="114"/>
      <c r="X5" s="114"/>
      <c r="Y5" s="113"/>
      <c r="Z5" s="111"/>
      <c r="AA5" s="111"/>
      <c r="AB5" s="111"/>
      <c r="AC5" s="111"/>
      <c r="AD5" s="111"/>
      <c r="AE5" s="111"/>
      <c r="AF5" s="111"/>
      <c r="AG5" s="77"/>
      <c r="AH5" s="115"/>
      <c r="AI5" s="115">
        <v>0</v>
      </c>
      <c r="AJ5" s="115"/>
      <c r="AK5" s="116"/>
      <c r="AL5" s="116"/>
      <c r="AM5" s="116"/>
      <c r="AN5" s="116"/>
      <c r="AO5" s="116"/>
      <c r="AP5" s="116"/>
      <c r="AQ5" s="77">
        <f t="shared" si="0"/>
        <v>0</v>
      </c>
      <c r="AR5" s="117"/>
      <c r="AS5" s="117"/>
      <c r="AT5" s="117"/>
      <c r="AU5" s="117"/>
      <c r="AV5" s="118">
        <f t="shared" si="1"/>
        <v>0</v>
      </c>
      <c r="AW5" s="119"/>
    </row>
    <row r="6" spans="1:49">
      <c r="A6" s="109" t="s">
        <v>115</v>
      </c>
      <c r="B6" s="109">
        <v>3533.2000000000003</v>
      </c>
      <c r="C6" s="110">
        <v>16207.2304</v>
      </c>
      <c r="D6" s="77">
        <v>7104.2896000000001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12"/>
      <c r="R6" s="112"/>
      <c r="S6" s="112">
        <v>0</v>
      </c>
      <c r="T6" s="113"/>
      <c r="U6" s="113"/>
      <c r="V6" s="114"/>
      <c r="W6" s="114"/>
      <c r="X6" s="114"/>
      <c r="Y6" s="113"/>
      <c r="Z6" s="111"/>
      <c r="AA6" s="111"/>
      <c r="AB6" s="111"/>
      <c r="AC6" s="111"/>
      <c r="AD6" s="111"/>
      <c r="AE6" s="111"/>
      <c r="AF6" s="111"/>
      <c r="AG6" s="77">
        <f>5577.64</f>
        <v>5577.64</v>
      </c>
      <c r="AH6" s="115">
        <f>10433.6</f>
        <v>10433.6</v>
      </c>
      <c r="AI6" s="115">
        <v>9141.3128000000015</v>
      </c>
      <c r="AJ6" s="115"/>
      <c r="AK6" s="116">
        <f>181.1</f>
        <v>181.1</v>
      </c>
      <c r="AL6" s="116"/>
      <c r="AM6" s="116">
        <v>562.9</v>
      </c>
      <c r="AN6" s="116">
        <v>1758.23</v>
      </c>
      <c r="AO6" s="116">
        <v>2014.13</v>
      </c>
      <c r="AP6" s="116">
        <v>16699.400000000001</v>
      </c>
      <c r="AQ6" s="77">
        <f t="shared" si="0"/>
        <v>69679.832800000004</v>
      </c>
      <c r="AR6" s="117">
        <v>108789.75999999999</v>
      </c>
      <c r="AS6" s="117"/>
      <c r="AT6" s="117"/>
      <c r="AU6" s="117">
        <v>84514.18</v>
      </c>
      <c r="AV6" s="118">
        <f t="shared" si="1"/>
        <v>24275.58</v>
      </c>
      <c r="AW6" s="119"/>
    </row>
    <row r="7" spans="1:49">
      <c r="A7" s="109" t="s">
        <v>116</v>
      </c>
      <c r="B7" s="109">
        <v>2568.6999999999998</v>
      </c>
      <c r="C7" s="110">
        <v>26455.840399999997</v>
      </c>
      <c r="D7" s="77">
        <v>9967.3177999999989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  <c r="Q7" s="112"/>
      <c r="R7" s="112"/>
      <c r="S7" s="112">
        <v>0</v>
      </c>
      <c r="T7" s="113"/>
      <c r="U7" s="113"/>
      <c r="V7" s="114"/>
      <c r="W7" s="114"/>
      <c r="X7" s="114"/>
      <c r="Y7" s="113"/>
      <c r="Z7" s="111"/>
      <c r="AA7" s="111"/>
      <c r="AB7" s="111"/>
      <c r="AC7" s="111"/>
      <c r="AD7" s="111"/>
      <c r="AE7" s="111"/>
      <c r="AF7" s="111"/>
      <c r="AG7" s="77">
        <v>13177.98</v>
      </c>
      <c r="AH7" s="115">
        <f>4109.76*3</f>
        <v>12329.28</v>
      </c>
      <c r="AI7" s="115">
        <v>8607.4862000000012</v>
      </c>
      <c r="AJ7" s="115"/>
      <c r="AK7" s="116">
        <f>2400+197.97</f>
        <v>2597.9699999999998</v>
      </c>
      <c r="AL7" s="116"/>
      <c r="AM7" s="116">
        <v>770.58</v>
      </c>
      <c r="AN7" s="116">
        <v>2896.7</v>
      </c>
      <c r="AO7" s="116">
        <v>2659.01</v>
      </c>
      <c r="AP7" s="116">
        <v>35785.46</v>
      </c>
      <c r="AQ7" s="77">
        <f t="shared" si="0"/>
        <v>115247.6244</v>
      </c>
      <c r="AR7" s="117">
        <v>125187.86</v>
      </c>
      <c r="AS7" s="117"/>
      <c r="AT7" s="117"/>
      <c r="AU7" s="117">
        <v>108038.56999999999</v>
      </c>
      <c r="AV7" s="118">
        <f t="shared" si="1"/>
        <v>17149.290000000008</v>
      </c>
      <c r="AW7" s="119"/>
    </row>
    <row r="8" spans="1:49">
      <c r="A8" s="109" t="s">
        <v>117</v>
      </c>
      <c r="B8" s="109">
        <v>3554</v>
      </c>
      <c r="C8" s="110">
        <v>34845.337599999999</v>
      </c>
      <c r="D8" s="77">
        <v>13790.843800000001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2"/>
      <c r="Q8" s="112"/>
      <c r="R8" s="112"/>
      <c r="S8" s="112">
        <v>0</v>
      </c>
      <c r="T8" s="113"/>
      <c r="U8" s="113"/>
      <c r="V8" s="114"/>
      <c r="W8" s="114"/>
      <c r="X8" s="114"/>
      <c r="Y8" s="113"/>
      <c r="Z8" s="111"/>
      <c r="AA8" s="111"/>
      <c r="AB8" s="111"/>
      <c r="AC8" s="111"/>
      <c r="AD8" s="111"/>
      <c r="AE8" s="111"/>
      <c r="AF8" s="111"/>
      <c r="AG8" s="77">
        <v>16534.23</v>
      </c>
      <c r="AH8" s="115">
        <f>5686.4*3</f>
        <v>17059.199999999997</v>
      </c>
      <c r="AI8" s="115">
        <v>11348.667400000002</v>
      </c>
      <c r="AJ8" s="115"/>
      <c r="AK8" s="116">
        <f>267.6</f>
        <v>267.60000000000002</v>
      </c>
      <c r="AL8" s="116"/>
      <c r="AM8" s="116">
        <v>939.81</v>
      </c>
      <c r="AN8" s="116">
        <f>3782.24</f>
        <v>3782.24</v>
      </c>
      <c r="AO8" s="116">
        <f>3641.57</f>
        <v>3641.57</v>
      </c>
      <c r="AP8" s="116">
        <v>43036.18</v>
      </c>
      <c r="AQ8" s="77">
        <f t="shared" si="0"/>
        <v>145245.67880000002</v>
      </c>
      <c r="AR8" s="117">
        <v>173000.9</v>
      </c>
      <c r="AS8" s="117"/>
      <c r="AT8" s="117"/>
      <c r="AU8" s="117">
        <v>152786.50999999998</v>
      </c>
      <c r="AV8" s="118">
        <f t="shared" si="1"/>
        <v>20214.390000000014</v>
      </c>
      <c r="AW8" s="119"/>
    </row>
    <row r="9" spans="1:49">
      <c r="A9" s="109" t="s">
        <v>118</v>
      </c>
      <c r="B9" s="109">
        <v>3490.7</v>
      </c>
      <c r="C9" s="110">
        <v>51639.1296</v>
      </c>
      <c r="D9" s="77">
        <v>14650.238800000001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2"/>
      <c r="Q9" s="112"/>
      <c r="R9" s="112"/>
      <c r="S9" s="112">
        <v>0</v>
      </c>
      <c r="T9" s="113"/>
      <c r="U9" s="113"/>
      <c r="V9" s="114"/>
      <c r="W9" s="114"/>
      <c r="X9" s="114"/>
      <c r="Y9" s="113"/>
      <c r="Z9" s="111"/>
      <c r="AA9" s="111"/>
      <c r="AB9" s="111"/>
      <c r="AC9" s="111"/>
      <c r="AD9" s="111"/>
      <c r="AE9" s="111"/>
      <c r="AF9" s="111"/>
      <c r="AG9" s="77">
        <f>15299.13</f>
        <v>15299.13</v>
      </c>
      <c r="AH9" s="115">
        <f>5585.12*3</f>
        <v>16755.36</v>
      </c>
      <c r="AI9" s="115">
        <v>8733.4141999999993</v>
      </c>
      <c r="AJ9" s="115"/>
      <c r="AK9" s="116">
        <f>2220+267.48</f>
        <v>2487.48</v>
      </c>
      <c r="AL9" s="116">
        <v>8796.57</v>
      </c>
      <c r="AM9" s="116">
        <v>942.45</v>
      </c>
      <c r="AN9" s="116">
        <v>3720.66</v>
      </c>
      <c r="AO9" s="116">
        <f>4044.52</f>
        <v>4044.52</v>
      </c>
      <c r="AP9" s="116">
        <v>36519.020000000004</v>
      </c>
      <c r="AQ9" s="77">
        <f t="shared" si="0"/>
        <v>163587.97260000004</v>
      </c>
      <c r="AR9" s="117">
        <v>185516.52</v>
      </c>
      <c r="AS9" s="117"/>
      <c r="AT9" s="117"/>
      <c r="AU9" s="117">
        <v>165979.39000000001</v>
      </c>
      <c r="AV9" s="118">
        <f t="shared" si="1"/>
        <v>19537.129999999976</v>
      </c>
      <c r="AW9" s="119"/>
    </row>
    <row r="10" spans="1:49">
      <c r="A10" s="109" t="s">
        <v>119</v>
      </c>
      <c r="B10" s="109">
        <v>3556.9</v>
      </c>
      <c r="C10" s="110">
        <v>0</v>
      </c>
      <c r="D10" s="77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2"/>
      <c r="Q10" s="112"/>
      <c r="R10" s="112"/>
      <c r="S10" s="112">
        <v>0</v>
      </c>
      <c r="T10" s="113"/>
      <c r="U10" s="113"/>
      <c r="V10" s="114"/>
      <c r="W10" s="114"/>
      <c r="X10" s="114"/>
      <c r="Y10" s="113"/>
      <c r="Z10" s="111"/>
      <c r="AA10" s="111"/>
      <c r="AB10" s="111"/>
      <c r="AC10" s="111"/>
      <c r="AD10" s="111"/>
      <c r="AE10" s="111"/>
      <c r="AF10" s="111"/>
      <c r="AG10" s="77"/>
      <c r="AH10" s="115"/>
      <c r="AI10" s="115">
        <v>0</v>
      </c>
      <c r="AJ10" s="115"/>
      <c r="AK10" s="116"/>
      <c r="AL10" s="116"/>
      <c r="AM10" s="116"/>
      <c r="AN10" s="116"/>
      <c r="AO10" s="116"/>
      <c r="AP10" s="116"/>
      <c r="AQ10" s="77">
        <f t="shared" si="0"/>
        <v>0</v>
      </c>
      <c r="AR10" s="117"/>
      <c r="AS10" s="117"/>
      <c r="AT10" s="117"/>
      <c r="AU10" s="117"/>
      <c r="AV10" s="118">
        <f t="shared" si="1"/>
        <v>0</v>
      </c>
      <c r="AW10" s="119"/>
    </row>
    <row r="11" spans="1:49">
      <c r="A11" s="109" t="s">
        <v>120</v>
      </c>
      <c r="B11" s="109">
        <v>3550.2</v>
      </c>
      <c r="C11" s="110">
        <v>0</v>
      </c>
      <c r="D11" s="77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2"/>
      <c r="Q11" s="112"/>
      <c r="R11" s="112"/>
      <c r="S11" s="112">
        <v>0</v>
      </c>
      <c r="T11" s="113"/>
      <c r="U11" s="113"/>
      <c r="V11" s="114"/>
      <c r="W11" s="114"/>
      <c r="X11" s="114"/>
      <c r="Y11" s="113"/>
      <c r="Z11" s="111"/>
      <c r="AA11" s="111"/>
      <c r="AB11" s="111"/>
      <c r="AC11" s="111"/>
      <c r="AD11" s="111"/>
      <c r="AE11" s="111"/>
      <c r="AF11" s="111"/>
      <c r="AG11" s="77"/>
      <c r="AH11" s="115"/>
      <c r="AI11" s="115">
        <v>0</v>
      </c>
      <c r="AJ11" s="115"/>
      <c r="AK11" s="116"/>
      <c r="AL11" s="116"/>
      <c r="AM11" s="116"/>
      <c r="AN11" s="116"/>
      <c r="AO11" s="116"/>
      <c r="AP11" s="116"/>
      <c r="AQ11" s="77">
        <f t="shared" si="0"/>
        <v>0</v>
      </c>
      <c r="AR11" s="117"/>
      <c r="AS11" s="117"/>
      <c r="AT11" s="117"/>
      <c r="AU11" s="117"/>
      <c r="AV11" s="118">
        <f t="shared" si="1"/>
        <v>0</v>
      </c>
      <c r="AW11" s="119"/>
    </row>
    <row r="12" spans="1:49">
      <c r="A12" s="109" t="s">
        <v>121</v>
      </c>
      <c r="B12" s="109">
        <v>3188.2</v>
      </c>
      <c r="C12" s="110">
        <v>0</v>
      </c>
      <c r="D12" s="77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2"/>
      <c r="Q12" s="112"/>
      <c r="R12" s="112"/>
      <c r="S12" s="112">
        <v>0</v>
      </c>
      <c r="T12" s="113"/>
      <c r="U12" s="113"/>
      <c r="V12" s="114"/>
      <c r="W12" s="114"/>
      <c r="X12" s="114"/>
      <c r="Y12" s="113"/>
      <c r="Z12" s="111"/>
      <c r="AA12" s="111"/>
      <c r="AB12" s="111"/>
      <c r="AC12" s="111"/>
      <c r="AD12" s="111"/>
      <c r="AE12" s="111"/>
      <c r="AF12" s="111"/>
      <c r="AG12" s="77"/>
      <c r="AH12" s="115"/>
      <c r="AI12" s="115">
        <v>0</v>
      </c>
      <c r="AJ12" s="115"/>
      <c r="AK12" s="116"/>
      <c r="AL12" s="116"/>
      <c r="AM12" s="116"/>
      <c r="AN12" s="116"/>
      <c r="AO12" s="116"/>
      <c r="AP12" s="116"/>
      <c r="AQ12" s="77">
        <f t="shared" si="0"/>
        <v>0</v>
      </c>
      <c r="AR12" s="117"/>
      <c r="AS12" s="117"/>
      <c r="AT12" s="117"/>
      <c r="AU12" s="117"/>
      <c r="AV12" s="118">
        <f t="shared" si="1"/>
        <v>0</v>
      </c>
      <c r="AW12" s="119"/>
    </row>
    <row r="13" spans="1:49">
      <c r="A13" s="109" t="s">
        <v>122</v>
      </c>
      <c r="B13" s="109">
        <v>5804.5999999999995</v>
      </c>
      <c r="C13" s="110">
        <v>0</v>
      </c>
      <c r="D13" s="77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2"/>
      <c r="Q13" s="112"/>
      <c r="R13" s="112"/>
      <c r="S13" s="112">
        <v>0</v>
      </c>
      <c r="T13" s="113"/>
      <c r="U13" s="113"/>
      <c r="V13" s="114"/>
      <c r="W13" s="114"/>
      <c r="X13" s="114"/>
      <c r="Y13" s="113"/>
      <c r="Z13" s="111"/>
      <c r="AA13" s="111"/>
      <c r="AB13" s="111"/>
      <c r="AC13" s="111"/>
      <c r="AD13" s="111"/>
      <c r="AE13" s="111"/>
      <c r="AF13" s="111"/>
      <c r="AG13" s="77"/>
      <c r="AH13" s="115"/>
      <c r="AI13" s="115">
        <v>0</v>
      </c>
      <c r="AJ13" s="115"/>
      <c r="AK13" s="116"/>
      <c r="AL13" s="116"/>
      <c r="AM13" s="116"/>
      <c r="AN13" s="116"/>
      <c r="AO13" s="116"/>
      <c r="AP13" s="116"/>
      <c r="AQ13" s="77">
        <f t="shared" si="0"/>
        <v>0</v>
      </c>
      <c r="AR13" s="117"/>
      <c r="AS13" s="117"/>
      <c r="AT13" s="117"/>
      <c r="AU13" s="117"/>
      <c r="AV13" s="118">
        <f t="shared" si="1"/>
        <v>0</v>
      </c>
      <c r="AW13" s="119"/>
    </row>
    <row r="14" spans="1:49">
      <c r="A14" s="109" t="s">
        <v>123</v>
      </c>
      <c r="B14" s="109">
        <v>4525.7</v>
      </c>
      <c r="C14" s="110">
        <v>6156.1196</v>
      </c>
      <c r="D14" s="77">
        <v>4862.5168000000003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  <c r="Q14" s="112"/>
      <c r="R14" s="112"/>
      <c r="S14" s="112">
        <v>0</v>
      </c>
      <c r="T14" s="113"/>
      <c r="U14" s="113"/>
      <c r="V14" s="114"/>
      <c r="W14" s="114"/>
      <c r="X14" s="114"/>
      <c r="Y14" s="113"/>
      <c r="Z14" s="111"/>
      <c r="AA14" s="111"/>
      <c r="AB14" s="111"/>
      <c r="AC14" s="111"/>
      <c r="AD14" s="111"/>
      <c r="AE14" s="111"/>
      <c r="AF14" s="111"/>
      <c r="AG14" s="77">
        <f>11387.98</f>
        <v>11387.98</v>
      </c>
      <c r="AH14" s="115">
        <f>7241.12</f>
        <v>7241.12</v>
      </c>
      <c r="AI14" s="115">
        <v>2161.0432000000001</v>
      </c>
      <c r="AJ14" s="115"/>
      <c r="AK14" s="116">
        <f>115.91</f>
        <v>115.91</v>
      </c>
      <c r="AL14" s="116">
        <v>3799.56</v>
      </c>
      <c r="AM14" s="116">
        <v>407.17</v>
      </c>
      <c r="AN14" s="116"/>
      <c r="AO14" s="116">
        <v>1496.22</v>
      </c>
      <c r="AP14" s="116">
        <v>19598.330000000002</v>
      </c>
      <c r="AQ14" s="77">
        <f t="shared" si="0"/>
        <v>57225.969599999997</v>
      </c>
      <c r="AR14" s="117">
        <v>75539.25</v>
      </c>
      <c r="AS14" s="117"/>
      <c r="AT14" s="117"/>
      <c r="AU14" s="117">
        <v>53975.83</v>
      </c>
      <c r="AV14" s="118">
        <f t="shared" si="1"/>
        <v>21563.42</v>
      </c>
      <c r="AW14" s="119"/>
    </row>
    <row r="15" spans="1:49" s="120" customFormat="1">
      <c r="A15" s="109" t="s">
        <v>124</v>
      </c>
      <c r="B15" s="109">
        <v>3532.3</v>
      </c>
      <c r="C15" s="110">
        <v>50196.702799999999</v>
      </c>
      <c r="D15" s="77">
        <v>18033.451399999998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2"/>
      <c r="Q15" s="112"/>
      <c r="R15" s="112"/>
      <c r="S15" s="112">
        <v>54250.560000000005</v>
      </c>
      <c r="T15" s="113"/>
      <c r="U15" s="113"/>
      <c r="V15" s="114"/>
      <c r="W15" s="114"/>
      <c r="X15" s="114"/>
      <c r="Y15" s="113"/>
      <c r="Z15" s="111"/>
      <c r="AA15" s="111"/>
      <c r="AB15" s="111"/>
      <c r="AC15" s="111"/>
      <c r="AD15" s="111"/>
      <c r="AE15" s="111"/>
      <c r="AF15" s="111"/>
      <c r="AG15" s="77">
        <v>30700.880000000001</v>
      </c>
      <c r="AH15" s="115">
        <v>22606.720000000001</v>
      </c>
      <c r="AI15" s="115">
        <v>7198.5871999999999</v>
      </c>
      <c r="AJ15" s="115"/>
      <c r="AK15" s="116">
        <f>362.44</f>
        <v>362.44</v>
      </c>
      <c r="AL15" s="116">
        <v>11868.48</v>
      </c>
      <c r="AM15" s="116">
        <v>1412.92</v>
      </c>
      <c r="AN15" s="116">
        <f>5793.57</f>
        <v>5793.57</v>
      </c>
      <c r="AO15" s="116">
        <v>5110.2700000000004</v>
      </c>
      <c r="AP15" s="116">
        <v>75418.37</v>
      </c>
      <c r="AQ15" s="77">
        <f t="shared" si="0"/>
        <v>282952.95140000002</v>
      </c>
      <c r="AR15" s="117">
        <v>241892.32</v>
      </c>
      <c r="AS15" s="117"/>
      <c r="AT15" s="117"/>
      <c r="AU15" s="117">
        <v>206090.85</v>
      </c>
      <c r="AV15" s="118">
        <f t="shared" si="1"/>
        <v>35801.47</v>
      </c>
      <c r="AW15" s="119"/>
    </row>
    <row r="16" spans="1:49">
      <c r="A16" s="109" t="s">
        <v>125</v>
      </c>
      <c r="B16" s="109">
        <v>3541.9</v>
      </c>
      <c r="C16" s="110">
        <v>0</v>
      </c>
      <c r="D16" s="77"/>
      <c r="E16" s="121"/>
      <c r="F16" s="121"/>
      <c r="G16" s="121"/>
      <c r="H16" s="121"/>
      <c r="I16" s="121"/>
      <c r="J16" s="121"/>
      <c r="K16" s="111"/>
      <c r="L16" s="121"/>
      <c r="M16" s="121"/>
      <c r="N16" s="121"/>
      <c r="O16" s="121"/>
      <c r="P16" s="112"/>
      <c r="Q16" s="112"/>
      <c r="R16" s="112"/>
      <c r="S16" s="112">
        <v>0</v>
      </c>
      <c r="T16" s="122"/>
      <c r="U16" s="122"/>
      <c r="V16" s="123"/>
      <c r="W16" s="123"/>
      <c r="X16" s="123"/>
      <c r="Y16" s="122"/>
      <c r="Z16" s="121"/>
      <c r="AA16" s="121"/>
      <c r="AB16" s="121"/>
      <c r="AC16" s="121"/>
      <c r="AD16" s="121"/>
      <c r="AE16" s="121"/>
      <c r="AF16" s="121"/>
      <c r="AG16" s="124"/>
      <c r="AH16" s="125"/>
      <c r="AI16" s="115">
        <v>0</v>
      </c>
      <c r="AJ16" s="125"/>
      <c r="AK16" s="126"/>
      <c r="AL16" s="126"/>
      <c r="AM16" s="126"/>
      <c r="AN16" s="126"/>
      <c r="AO16" s="126"/>
      <c r="AP16" s="126"/>
      <c r="AQ16" s="77">
        <f t="shared" si="0"/>
        <v>0</v>
      </c>
      <c r="AR16" s="117"/>
      <c r="AS16" s="117"/>
      <c r="AT16" s="117"/>
      <c r="AU16" s="117"/>
      <c r="AV16" s="118">
        <f>AW16+AR16-AU16</f>
        <v>0</v>
      </c>
      <c r="AW16" s="119"/>
    </row>
    <row r="17" spans="1:49">
      <c r="A17" s="54"/>
      <c r="B17" s="54">
        <f>SUM(B3:B16)</f>
        <v>49037.700000000004</v>
      </c>
      <c r="C17" s="54">
        <f t="shared" ref="C17:AV17" si="2">SUM(C3:C16)</f>
        <v>203375.32060000001</v>
      </c>
      <c r="D17" s="54">
        <f t="shared" si="2"/>
        <v>76435.518799999991</v>
      </c>
      <c r="E17" s="54">
        <f t="shared" si="2"/>
        <v>0</v>
      </c>
      <c r="F17" s="54">
        <f t="shared" si="2"/>
        <v>0</v>
      </c>
      <c r="G17" s="54">
        <f t="shared" si="2"/>
        <v>0</v>
      </c>
      <c r="H17" s="54">
        <f t="shared" si="2"/>
        <v>0</v>
      </c>
      <c r="I17" s="54">
        <f t="shared" si="2"/>
        <v>0</v>
      </c>
      <c r="J17" s="54">
        <f t="shared" si="2"/>
        <v>0</v>
      </c>
      <c r="K17" s="54">
        <f t="shared" si="2"/>
        <v>0</v>
      </c>
      <c r="L17" s="54">
        <f t="shared" si="2"/>
        <v>0</v>
      </c>
      <c r="M17" s="54">
        <f t="shared" si="2"/>
        <v>0</v>
      </c>
      <c r="N17" s="54">
        <f t="shared" si="2"/>
        <v>0</v>
      </c>
      <c r="O17" s="54">
        <f t="shared" si="2"/>
        <v>0</v>
      </c>
      <c r="P17" s="54">
        <f t="shared" si="2"/>
        <v>0</v>
      </c>
      <c r="Q17" s="54">
        <f t="shared" si="2"/>
        <v>0</v>
      </c>
      <c r="R17" s="54">
        <f t="shared" si="2"/>
        <v>0</v>
      </c>
      <c r="S17" s="54">
        <f t="shared" si="2"/>
        <v>54250.560000000005</v>
      </c>
      <c r="T17" s="54">
        <f t="shared" si="2"/>
        <v>0</v>
      </c>
      <c r="U17" s="54">
        <f t="shared" si="2"/>
        <v>0</v>
      </c>
      <c r="V17" s="54">
        <f t="shared" si="2"/>
        <v>0</v>
      </c>
      <c r="W17" s="54">
        <f t="shared" si="2"/>
        <v>0</v>
      </c>
      <c r="X17" s="54">
        <f t="shared" si="2"/>
        <v>0</v>
      </c>
      <c r="Y17" s="54">
        <f t="shared" si="2"/>
        <v>0</v>
      </c>
      <c r="Z17" s="54">
        <f t="shared" si="2"/>
        <v>0</v>
      </c>
      <c r="AA17" s="54">
        <f t="shared" si="2"/>
        <v>0</v>
      </c>
      <c r="AB17" s="54">
        <f t="shared" si="2"/>
        <v>0</v>
      </c>
      <c r="AC17" s="54">
        <f t="shared" si="2"/>
        <v>0</v>
      </c>
      <c r="AD17" s="54">
        <f t="shared" si="2"/>
        <v>0</v>
      </c>
      <c r="AE17" s="54">
        <f t="shared" si="2"/>
        <v>0</v>
      </c>
      <c r="AF17" s="54">
        <f t="shared" si="2"/>
        <v>0</v>
      </c>
      <c r="AG17" s="54">
        <f t="shared" si="2"/>
        <v>108021.72</v>
      </c>
      <c r="AH17" s="54">
        <f t="shared" si="2"/>
        <v>94413.92</v>
      </c>
      <c r="AI17" s="54">
        <f t="shared" si="2"/>
        <v>50526.606600000006</v>
      </c>
      <c r="AJ17" s="54">
        <f t="shared" si="2"/>
        <v>0</v>
      </c>
      <c r="AK17" s="54">
        <f t="shared" si="2"/>
        <v>8613.7900000000009</v>
      </c>
      <c r="AL17" s="54">
        <f t="shared" si="2"/>
        <v>26178.28</v>
      </c>
      <c r="AM17" s="54">
        <f t="shared" si="2"/>
        <v>5626.21</v>
      </c>
      <c r="AN17" s="54">
        <f t="shared" si="2"/>
        <v>19335.579999999998</v>
      </c>
      <c r="AO17" s="54">
        <f t="shared" si="2"/>
        <v>21265.42</v>
      </c>
      <c r="AP17" s="54">
        <f t="shared" si="2"/>
        <v>249401.68</v>
      </c>
      <c r="AQ17" s="54">
        <f t="shared" si="2"/>
        <v>917444.60600000003</v>
      </c>
      <c r="AR17" s="54">
        <f t="shared" si="2"/>
        <v>1037798.3300000001</v>
      </c>
      <c r="AS17" s="54">
        <f t="shared" si="2"/>
        <v>0</v>
      </c>
      <c r="AT17" s="54">
        <f t="shared" si="2"/>
        <v>0</v>
      </c>
      <c r="AU17" s="54">
        <f t="shared" si="2"/>
        <v>872068.09</v>
      </c>
      <c r="AV17" s="54">
        <f t="shared" si="2"/>
        <v>165730.23999999999</v>
      </c>
      <c r="AW17" s="54"/>
    </row>
  </sheetData>
  <mergeCells count="34">
    <mergeCell ref="AW1:AW2"/>
    <mergeCell ref="AS1:AS2"/>
    <mergeCell ref="AT1:AT2"/>
    <mergeCell ref="AU1:AU2"/>
    <mergeCell ref="AV1:AV2"/>
    <mergeCell ref="AR1:AR2"/>
    <mergeCell ref="AL1:AL2"/>
    <mergeCell ref="AM1:AM2"/>
    <mergeCell ref="AN1:AN2"/>
    <mergeCell ref="AO1:AO2"/>
    <mergeCell ref="AP1:AP2"/>
    <mergeCell ref="AQ1:AQ2"/>
    <mergeCell ref="AI1:AI2"/>
    <mergeCell ref="AJ1:AJ2"/>
    <mergeCell ref="AK1:AK2"/>
    <mergeCell ref="AE1:AF1"/>
    <mergeCell ref="AG1:AG2"/>
    <mergeCell ref="AH1:AH2"/>
    <mergeCell ref="Z1:AA1"/>
    <mergeCell ref="N1:O1"/>
    <mergeCell ref="P1:P2"/>
    <mergeCell ref="Q1:Q2"/>
    <mergeCell ref="R1:R2"/>
    <mergeCell ref="S1:S2"/>
    <mergeCell ref="T1:U1"/>
    <mergeCell ref="V1:W1"/>
    <mergeCell ref="X1:Y1"/>
    <mergeCell ref="L1:M1"/>
    <mergeCell ref="A1:A2"/>
    <mergeCell ref="B1:B2"/>
    <mergeCell ref="C1:C2"/>
    <mergeCell ref="D1:D2"/>
    <mergeCell ref="E1:J1"/>
    <mergeCell ref="K1:K2"/>
  </mergeCells>
  <pageMargins left="0.32" right="0.38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2019</vt:lpstr>
      <vt:lpstr>Привокзальный район</vt:lpstr>
      <vt:lpstr>'2019'!Область_печати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Пользователь</cp:lastModifiedBy>
  <cp:lastPrinted>2020-03-04T13:57:06Z</cp:lastPrinted>
  <dcterms:created xsi:type="dcterms:W3CDTF">2009-11-10T06:40:39Z</dcterms:created>
  <dcterms:modified xsi:type="dcterms:W3CDTF">2023-01-17T07:57:34Z</dcterms:modified>
</cp:coreProperties>
</file>