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4910" windowHeight="6600" tabRatio="258"/>
  </bookViews>
  <sheets>
    <sheet name="план 2021" sheetId="1" r:id="rId1"/>
  </sheets>
  <definedNames>
    <definedName name="_xlnm.Print_Area" localSheetId="0">'план 2021'!$A$4:$BA$65</definedName>
  </definedNames>
  <calcPr calcId="125725"/>
</workbook>
</file>

<file path=xl/calcChain.xml><?xml version="1.0" encoding="utf-8"?>
<calcChain xmlns="http://schemas.openxmlformats.org/spreadsheetml/2006/main">
  <c r="AY72" i="1"/>
  <c r="AY73"/>
  <c r="AY74"/>
  <c r="AY75"/>
  <c r="AY76"/>
  <c r="AY77"/>
  <c r="AY78"/>
  <c r="AY79"/>
  <c r="AY80"/>
  <c r="AY81"/>
  <c r="AY82"/>
  <c r="AY83"/>
  <c r="AY84"/>
  <c r="AY71"/>
  <c r="AY11"/>
  <c r="AY12"/>
  <c r="AY13"/>
  <c r="AY14"/>
  <c r="AY15"/>
  <c r="AY16"/>
  <c r="AY17"/>
  <c r="AY18"/>
  <c r="AY19"/>
  <c r="AY21"/>
  <c r="AY22"/>
  <c r="AY23"/>
  <c r="AY24"/>
  <c r="AY25"/>
  <c r="AY26"/>
  <c r="AY27"/>
  <c r="AY29"/>
  <c r="AY30"/>
  <c r="AY31"/>
  <c r="AY32"/>
  <c r="AY34"/>
  <c r="AY35"/>
  <c r="AY36"/>
  <c r="AY37"/>
  <c r="AY38"/>
  <c r="AY40"/>
  <c r="AY41"/>
  <c r="AY42"/>
  <c r="AY43"/>
  <c r="AY44"/>
  <c r="AY45"/>
  <c r="AY46"/>
  <c r="AY47"/>
  <c r="AY48"/>
  <c r="AY49"/>
  <c r="AY50"/>
  <c r="AY52"/>
  <c r="AY53"/>
  <c r="AY54"/>
  <c r="AY55"/>
  <c r="AY56"/>
  <c r="AY57"/>
  <c r="AY58"/>
  <c r="AY59"/>
  <c r="AY60"/>
  <c r="AY61"/>
  <c r="AY62"/>
  <c r="AY63"/>
  <c r="AY64"/>
  <c r="AY65"/>
  <c r="AY6"/>
  <c r="AY7"/>
  <c r="AY8"/>
  <c r="AY10"/>
  <c r="AY9"/>
  <c r="AU51"/>
  <c r="AY51" s="1"/>
  <c r="AU39"/>
  <c r="AY39" s="1"/>
  <c r="AZ71"/>
  <c r="G72" l="1"/>
  <c r="G73"/>
  <c r="G74"/>
  <c r="G75"/>
  <c r="G76"/>
  <c r="G77"/>
  <c r="G78"/>
  <c r="G79"/>
  <c r="G80"/>
  <c r="G81"/>
  <c r="G82"/>
  <c r="G83"/>
  <c r="G7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7"/>
  <c r="G8"/>
  <c r="G9"/>
  <c r="G10"/>
  <c r="G11"/>
  <c r="G12"/>
  <c r="G13"/>
  <c r="G14"/>
  <c r="G6"/>
  <c r="AZ80"/>
  <c r="AZ79"/>
  <c r="AZ78"/>
  <c r="AZ77"/>
  <c r="AZ84"/>
  <c r="AZ83"/>
  <c r="AZ82"/>
  <c r="AZ72"/>
  <c r="AZ73"/>
  <c r="AZ74"/>
  <c r="AZ75"/>
  <c r="AZ76"/>
  <c r="AZ81"/>
  <c r="AZ32"/>
  <c r="AZ23"/>
  <c r="AZ21"/>
  <c r="AN28"/>
  <c r="G65" l="1"/>
  <c r="AJ33" l="1"/>
  <c r="AY33" s="1"/>
  <c r="AJ28"/>
  <c r="AY28" s="1"/>
  <c r="AJ20"/>
  <c r="AY20" s="1"/>
  <c r="G84" l="1"/>
  <c r="AZ65"/>
  <c r="AZ60"/>
  <c r="AZ59"/>
  <c r="AZ58"/>
  <c r="AZ55"/>
  <c r="AZ54"/>
  <c r="AZ52"/>
  <c r="AZ51"/>
  <c r="AZ49"/>
  <c r="AZ48"/>
  <c r="AZ46"/>
  <c r="AZ40"/>
  <c r="AZ38"/>
  <c r="AZ37"/>
  <c r="AZ35"/>
  <c r="AZ31"/>
  <c r="AZ30"/>
  <c r="AZ25"/>
  <c r="AZ24"/>
  <c r="AZ22"/>
  <c r="AZ18"/>
  <c r="AZ19"/>
  <c r="AZ17"/>
  <c r="AZ10"/>
  <c r="AX84" l="1"/>
  <c r="AX76" l="1"/>
  <c r="AX72"/>
  <c r="AX81"/>
  <c r="AX75"/>
  <c r="AX73"/>
  <c r="AX78"/>
  <c r="AX80"/>
  <c r="AX83"/>
  <c r="AX77"/>
  <c r="AX82"/>
  <c r="AX79"/>
  <c r="AX74"/>
  <c r="AX71"/>
  <c r="AZ7" l="1"/>
  <c r="AZ53"/>
  <c r="B50" l="1"/>
  <c r="B64"/>
  <c r="B63"/>
  <c r="B62"/>
  <c r="B61"/>
  <c r="B57"/>
  <c r="B56"/>
  <c r="B47"/>
  <c r="B45"/>
  <c r="B44"/>
  <c r="B43"/>
  <c r="B42"/>
  <c r="B41"/>
  <c r="B39"/>
  <c r="B36"/>
  <c r="B34"/>
  <c r="B33"/>
  <c r="B29"/>
  <c r="B28"/>
  <c r="B27"/>
  <c r="B26"/>
  <c r="B20"/>
  <c r="B16"/>
  <c r="B15"/>
  <c r="B14"/>
  <c r="B13"/>
  <c r="B12"/>
  <c r="B11"/>
  <c r="B9"/>
  <c r="B8"/>
  <c r="B6"/>
  <c r="AK69" l="1"/>
  <c r="B66"/>
  <c r="AZ9"/>
  <c r="AZ41"/>
  <c r="AZ39"/>
  <c r="AZ61"/>
  <c r="AZ20"/>
  <c r="AZ57"/>
  <c r="AZ6"/>
  <c r="AZ16"/>
  <c r="AZ36"/>
  <c r="AZ56"/>
  <c r="AZ15"/>
  <c r="AZ34"/>
  <c r="AZ47"/>
  <c r="AZ14"/>
  <c r="AZ33"/>
  <c r="AZ45"/>
  <c r="AZ50"/>
  <c r="AZ13"/>
  <c r="AZ29"/>
  <c r="AZ44"/>
  <c r="AZ64"/>
  <c r="AZ12"/>
  <c r="AZ28"/>
  <c r="AZ43"/>
  <c r="AZ63"/>
  <c r="AZ11"/>
  <c r="AZ27"/>
  <c r="AZ42"/>
  <c r="AZ62"/>
  <c r="AZ8"/>
  <c r="AZ26"/>
  <c r="AP66" l="1"/>
  <c r="B68" l="1"/>
  <c r="B69" s="1"/>
  <c r="AV66"/>
  <c r="E66"/>
  <c r="AT66"/>
  <c r="AX6" l="1"/>
  <c r="AR66"/>
  <c r="AW67"/>
  <c r="I75" l="1"/>
  <c r="I72"/>
  <c r="I73"/>
  <c r="I79"/>
  <c r="I76"/>
  <c r="I77"/>
  <c r="I74"/>
  <c r="I83"/>
  <c r="I80"/>
  <c r="I81"/>
  <c r="I78"/>
  <c r="I84"/>
  <c r="I82"/>
  <c r="AX44"/>
  <c r="AX65"/>
  <c r="AX64"/>
  <c r="AX10"/>
  <c r="BA83" l="1"/>
  <c r="BA79"/>
  <c r="BA80"/>
  <c r="BA81"/>
  <c r="BA73"/>
  <c r="BA82"/>
  <c r="BA77"/>
  <c r="BA84"/>
  <c r="BA76"/>
  <c r="BA72"/>
  <c r="BA75"/>
  <c r="BA78"/>
  <c r="BA74"/>
  <c r="AX35"/>
  <c r="AX56"/>
  <c r="AX20"/>
  <c r="AX49"/>
  <c r="AX32"/>
  <c r="AX58"/>
  <c r="AX23"/>
  <c r="AX47"/>
  <c r="AX13"/>
  <c r="AX40"/>
  <c r="AX60"/>
  <c r="AX31"/>
  <c r="AX53"/>
  <c r="AX11"/>
  <c r="AX42"/>
  <c r="AX62"/>
  <c r="AX28"/>
  <c r="AX55"/>
  <c r="AX24"/>
  <c r="AX52"/>
  <c r="AX15"/>
  <c r="AX41"/>
  <c r="AX27"/>
  <c r="AX50"/>
  <c r="AX17"/>
  <c r="AX43"/>
  <c r="AX63"/>
  <c r="AX19"/>
  <c r="AX57"/>
  <c r="AX39"/>
  <c r="AX21"/>
  <c r="AX59"/>
  <c r="AX9"/>
  <c r="AX46"/>
  <c r="AX36"/>
  <c r="AX7"/>
  <c r="AX18"/>
  <c r="AX54"/>
  <c r="AX45"/>
  <c r="AX29"/>
  <c r="AX38"/>
  <c r="AX51"/>
  <c r="AX37"/>
  <c r="AX25"/>
  <c r="AX8"/>
  <c r="AX14"/>
  <c r="AX26"/>
  <c r="AX30"/>
  <c r="AX34"/>
  <c r="AX12"/>
  <c r="AX61"/>
  <c r="AX48"/>
  <c r="AX16"/>
  <c r="AX22"/>
  <c r="AX33"/>
  <c r="I71" l="1"/>
  <c r="BA71" l="1"/>
  <c r="I24"/>
  <c r="I53"/>
  <c r="I52"/>
  <c r="I62"/>
  <c r="I40"/>
  <c r="I25"/>
  <c r="I64"/>
  <c r="BA64" s="1"/>
  <c r="I28"/>
  <c r="I14"/>
  <c r="I50"/>
  <c r="I55"/>
  <c r="I54"/>
  <c r="I26"/>
  <c r="I46"/>
  <c r="I8"/>
  <c r="I15"/>
  <c r="I35"/>
  <c r="I41"/>
  <c r="I48"/>
  <c r="I56"/>
  <c r="I49"/>
  <c r="I61"/>
  <c r="I23"/>
  <c r="I43"/>
  <c r="I34"/>
  <c r="I13"/>
  <c r="I19"/>
  <c r="I36"/>
  <c r="I22"/>
  <c r="I38"/>
  <c r="I9"/>
  <c r="I17"/>
  <c r="I51"/>
  <c r="I27"/>
  <c r="I29"/>
  <c r="I21"/>
  <c r="I57"/>
  <c r="I47"/>
  <c r="I44"/>
  <c r="I18"/>
  <c r="I39"/>
  <c r="I32"/>
  <c r="I59"/>
  <c r="I11"/>
  <c r="I7"/>
  <c r="I16"/>
  <c r="I37"/>
  <c r="I45"/>
  <c r="I63"/>
  <c r="I58"/>
  <c r="I12"/>
  <c r="I20"/>
  <c r="I33"/>
  <c r="I6"/>
  <c r="I65" l="1"/>
  <c r="BA65" s="1"/>
  <c r="I31"/>
  <c r="BA31" s="1"/>
  <c r="I10"/>
  <c r="BA10" s="1"/>
  <c r="BA38"/>
  <c r="I30"/>
  <c r="BA30" s="1"/>
  <c r="BA53"/>
  <c r="BA59"/>
  <c r="I60"/>
  <c r="BA60" s="1"/>
  <c r="BA47"/>
  <c r="I42"/>
  <c r="BA42" s="1"/>
  <c r="BA46"/>
  <c r="BA49"/>
  <c r="BA41"/>
  <c r="BA50"/>
  <c r="BA54"/>
  <c r="BA62"/>
  <c r="BA7"/>
  <c r="BA22"/>
  <c r="BA16"/>
  <c r="BA43"/>
  <c r="BA11"/>
  <c r="BA44"/>
  <c r="BA51"/>
  <c r="BA55"/>
  <c r="BA61"/>
  <c r="BA8"/>
  <c r="BA21"/>
  <c r="BA23"/>
  <c r="BA34"/>
  <c r="BA36"/>
  <c r="BA56"/>
  <c r="BA48"/>
  <c r="BA14"/>
  <c r="BA18"/>
  <c r="BA25"/>
  <c r="BA27"/>
  <c r="BA29"/>
  <c r="BA40"/>
  <c r="BA57"/>
  <c r="BA52"/>
  <c r="BA9"/>
  <c r="BA35"/>
  <c r="BA13"/>
  <c r="BA15"/>
  <c r="BA17"/>
  <c r="BA19"/>
  <c r="BA26"/>
  <c r="BA28"/>
  <c r="BA32"/>
  <c r="BA39"/>
  <c r="BA24"/>
  <c r="BA37"/>
  <c r="BA33"/>
  <c r="BA20"/>
  <c r="BA12"/>
  <c r="BA63"/>
  <c r="BA58"/>
  <c r="BA45"/>
  <c r="BA6" l="1"/>
</calcChain>
</file>

<file path=xl/sharedStrings.xml><?xml version="1.0" encoding="utf-8"?>
<sst xmlns="http://schemas.openxmlformats.org/spreadsheetml/2006/main" count="144" uniqueCount="127">
  <si>
    <t>Дом</t>
  </si>
  <si>
    <t>Мира,д.48/1</t>
  </si>
  <si>
    <t>ремонт кровли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</si>
  <si>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</si>
  <si>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</si>
  <si>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</si>
  <si>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</si>
  <si>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</si>
  <si>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</si>
  <si>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</si>
  <si>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</si>
  <si>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</si>
  <si>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</si>
  <si>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</si>
  <si>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</si>
  <si>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</si>
  <si>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</si>
  <si>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</si>
  <si>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</si>
  <si>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</si>
  <si>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</si>
  <si>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</si>
  <si>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</si>
  <si>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</si>
  <si>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</si>
  <si>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</si>
  <si>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</si>
  <si>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</si>
  <si>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</si>
  <si>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</si>
  <si>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</si>
  <si>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</si>
  <si>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</si>
  <si>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</si>
  <si>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</si>
  <si>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</si>
  <si>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</si>
  <si>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</si>
  <si>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</si>
  <si>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</si>
  <si>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</si>
  <si>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</si>
  <si>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</si>
  <si>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</si>
  <si>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</si>
  <si>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</si>
  <si>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</si>
  <si>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</si>
  <si>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</si>
  <si>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</si>
  <si>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</si>
  <si>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</si>
  <si>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</si>
  <si>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</si>
  <si>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</si>
  <si>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</si>
  <si>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</si>
  <si>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</si>
  <si>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</si>
  <si>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</si>
  <si>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</si>
  <si>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</si>
  <si>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 xml:space="preserve">кв. м </t>
  </si>
  <si>
    <t>Аварийно-сервисное обслуживание</t>
  </si>
  <si>
    <t>Уборка придомовой территории</t>
  </si>
  <si>
    <t>Ремонт швов</t>
  </si>
  <si>
    <t>Ремонт подъездов</t>
  </si>
  <si>
    <t>Ремонт ступеней</t>
  </si>
  <si>
    <t>Ремонт балкона</t>
  </si>
  <si>
    <t>Установка подвальных дверей</t>
  </si>
  <si>
    <t>Обслуживние лифта</t>
  </si>
  <si>
    <t>Ресурсы по МКД</t>
  </si>
  <si>
    <t>Расходы на управление</t>
  </si>
  <si>
    <t>ИТОГО расходы</t>
  </si>
  <si>
    <t>сумма</t>
  </si>
  <si>
    <t>кв.м</t>
  </si>
  <si>
    <t>кол-во</t>
  </si>
  <si>
    <t>Сумма (работа)</t>
  </si>
  <si>
    <t>пог. М</t>
  </si>
  <si>
    <t>Сумма</t>
  </si>
  <si>
    <t>шт</t>
  </si>
  <si>
    <t>ул.Есенина,д.7в</t>
  </si>
  <si>
    <t>для лифтов</t>
  </si>
  <si>
    <t>Ремонт фасадов(цоколей)</t>
  </si>
  <si>
    <t>монтаж отливов</t>
  </si>
  <si>
    <t>Уборка лестничных клеток и мусоропроводов</t>
  </si>
  <si>
    <t>Опиловка деревьев</t>
  </si>
  <si>
    <t>Услуги Расчетного центра</t>
  </si>
  <si>
    <t>Работы по содержания и ремонту ВДО, вход.в общее имущество дома</t>
  </si>
  <si>
    <t>Работы по содержанию земельного участка</t>
  </si>
  <si>
    <t>Работы по ремонту конструктивных элементов зданий</t>
  </si>
  <si>
    <t>S  до 31.08</t>
  </si>
  <si>
    <t>S  с 01.09</t>
  </si>
  <si>
    <t>Ремонт цоколей</t>
  </si>
  <si>
    <t>Итого тариф</t>
  </si>
  <si>
    <t>Техобслуживание ОДПУ</t>
  </si>
  <si>
    <t>Ресурсы по МКД(ГВС)</t>
  </si>
  <si>
    <t>Ресурсы по МКД(ХВС)</t>
  </si>
  <si>
    <t>Кол-во работ, ед.</t>
  </si>
  <si>
    <t>доставка квитанций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</si>
  <si>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</si>
  <si>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</si>
  <si>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</si>
  <si>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</si>
  <si>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</si>
  <si>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</si>
  <si>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</si>
  <si>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</si>
  <si>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</si>
  <si>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</si>
  <si>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</si>
  <si>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</si>
  <si>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</si>
  <si>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</si>
  <si>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Начислено</t>
  </si>
  <si>
    <t>Крыльца</t>
  </si>
  <si>
    <t>шт.</t>
  </si>
  <si>
    <t>Подъездные козырьки</t>
  </si>
  <si>
    <t>Фасад</t>
  </si>
  <si>
    <t>Балконные плиты</t>
  </si>
  <si>
    <t>Приямки</t>
  </si>
  <si>
    <t>Услуги по дератизации,   дезинсекции, дезинфекции</t>
  </si>
  <si>
    <t>5 эт</t>
  </si>
  <si>
    <t>9 эт</t>
  </si>
  <si>
    <t>Установка решоток на   слуховых окнах</t>
  </si>
  <si>
    <t>Юридические услуги</t>
  </si>
  <si>
    <t>Расходы по договорам управления МКД на 2021г. (план)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</si>
</sst>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9"/>
      <name val="Arial Cyr"/>
      <charset val="204"/>
    </font>
    <font>
      <sz val="7"/>
      <name val="Arial Cyr"/>
      <charset val="204"/>
    </font>
    <font>
      <sz val="10"/>
      <color rgb="FFFF0000"/>
      <name val="Arial Cyr"/>
      <charset val="204"/>
    </font>
    <font>
      <u/>
      <sz val="10"/>
      <color theme="10"/>
      <name val="Arial Cyr"/>
      <charset val="204"/>
    </font>
    <font>
      <sz val="10"/>
      <color theme="10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0" xfId="0" applyFont="1" applyFill="1"/>
    <xf numFmtId="0" fontId="0" fillId="2" borderId="1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center" vertical="center" wrapText="1"/>
    </xf>
    <xf numFmtId="0" fontId="0" fillId="2" borderId="0" xfId="0" applyFill="1"/>
    <xf numFmtId="4" fontId="3" fillId="0" borderId="1" xfId="0" applyNumberFormat="1" applyFont="1" applyFill="1" applyBorder="1"/>
    <xf numFmtId="2" fontId="0" fillId="0" borderId="6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0" fontId="0" fillId="0" borderId="0" xfId="0" applyFill="1"/>
    <xf numFmtId="2" fontId="4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0" borderId="0" xfId="0" applyFill="1" applyAlignment="1">
      <alignment horizontal="left" vertical="center"/>
    </xf>
    <xf numFmtId="4" fontId="3" fillId="3" borderId="1" xfId="0" applyNumberFormat="1" applyFont="1" applyFill="1" applyBorder="1"/>
    <xf numFmtId="2" fontId="3" fillId="3" borderId="0" xfId="0" applyNumberFormat="1" applyFont="1" applyFill="1"/>
    <xf numFmtId="2" fontId="4" fillId="3" borderId="0" xfId="0" applyNumberFormat="1" applyFont="1" applyFill="1"/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4" fontId="3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0" fillId="4" borderId="1" xfId="0" applyNumberFormat="1" applyFill="1" applyBorder="1"/>
    <xf numFmtId="4" fontId="0" fillId="4" borderId="1" xfId="0" applyNumberFormat="1" applyFill="1" applyBorder="1" applyAlignment="1">
      <alignment horizontal="center" vertical="center"/>
    </xf>
    <xf numFmtId="4" fontId="0" fillId="4" borderId="1" xfId="0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/>
    <xf numFmtId="0" fontId="3" fillId="4" borderId="0" xfId="0" applyFont="1" applyFill="1" applyAlignment="1">
      <alignment horizontal="center"/>
    </xf>
    <xf numFmtId="2" fontId="0" fillId="4" borderId="0" xfId="0" applyNumberFormat="1" applyFont="1" applyFill="1"/>
    <xf numFmtId="4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" fontId="3" fillId="4" borderId="0" xfId="0" applyNumberFormat="1" applyFont="1" applyFill="1"/>
    <xf numFmtId="1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0" fillId="4" borderId="0" xfId="0" applyFont="1" applyFill="1"/>
    <xf numFmtId="0" fontId="0" fillId="4" borderId="0" xfId="0" applyNumberFormat="1" applyFill="1" applyAlignment="1">
      <alignment horizontal="center" vertical="center"/>
    </xf>
    <xf numFmtId="1" fontId="0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0" fillId="3" borderId="6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 textRotation="90"/>
    </xf>
    <xf numFmtId="1" fontId="0" fillId="4" borderId="3" xfId="0" applyNumberFormat="1" applyFill="1" applyBorder="1" applyAlignment="1">
      <alignment horizontal="center" vertical="center" textRotation="90"/>
    </xf>
    <xf numFmtId="2" fontId="0" fillId="4" borderId="6" xfId="0" applyNumberFormat="1" applyFill="1" applyBorder="1" applyAlignment="1">
      <alignment horizontal="center" vertical="center" textRotation="90"/>
    </xf>
    <xf numFmtId="2" fontId="0" fillId="4" borderId="3" xfId="0" applyNumberFormat="1" applyFill="1" applyBorder="1" applyAlignment="1">
      <alignment horizontal="center" vertical="center" textRotation="90"/>
    </xf>
    <xf numFmtId="0" fontId="0" fillId="4" borderId="4" xfId="0" applyFill="1" applyBorder="1"/>
    <xf numFmtId="0" fontId="0" fillId="4" borderId="6" xfId="0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 textRotation="90" wrapText="1"/>
    </xf>
    <xf numFmtId="2" fontId="0" fillId="4" borderId="3" xfId="0" applyNumberForma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0" fillId="4" borderId="6" xfId="0" applyFont="1" applyFill="1" applyBorder="1" applyAlignment="1">
      <alignment horizontal="center" vertical="center" textRotation="90"/>
    </xf>
    <xf numFmtId="0" fontId="0" fillId="4" borderId="6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/>
    </xf>
    <xf numFmtId="0" fontId="0" fillId="4" borderId="6" xfId="0" applyFill="1" applyBorder="1" applyAlignment="1">
      <alignment horizontal="center" vertical="center" textRotation="90"/>
    </xf>
    <xf numFmtId="4" fontId="0" fillId="4" borderId="6" xfId="0" applyNumberFormat="1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2" fontId="3" fillId="4" borderId="6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textRotation="90"/>
    </xf>
    <xf numFmtId="0" fontId="0" fillId="4" borderId="3" xfId="0" applyFont="1" applyFill="1" applyBorder="1" applyAlignment="1">
      <alignment horizontal="center" vertical="center" textRotation="90" wrapText="1"/>
    </xf>
    <xf numFmtId="2" fontId="3" fillId="4" borderId="3" xfId="0" applyNumberFormat="1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 wrapText="1"/>
    </xf>
    <xf numFmtId="0" fontId="0" fillId="4" borderId="3" xfId="0" applyFill="1" applyBorder="1" applyAlignment="1">
      <alignment horizontal="center" vertical="center" textRotation="90"/>
    </xf>
    <xf numFmtId="4" fontId="3" fillId="4" borderId="3" xfId="0" applyNumberFormat="1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2" fontId="3" fillId="4" borderId="3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4" fontId="1" fillId="4" borderId="1" xfId="0" applyNumberFormat="1" applyFont="1" applyFill="1" applyBorder="1"/>
    <xf numFmtId="4" fontId="2" fillId="4" borderId="1" xfId="0" applyNumberFormat="1" applyFont="1" applyFill="1" applyBorder="1"/>
    <xf numFmtId="0" fontId="2" fillId="4" borderId="0" xfId="0" applyFont="1" applyFill="1"/>
    <xf numFmtId="164" fontId="3" fillId="4" borderId="0" xfId="0" applyNumberFormat="1" applyFont="1" applyFill="1"/>
    <xf numFmtId="2" fontId="7" fillId="4" borderId="0" xfId="0" applyNumberFormat="1" applyFont="1" applyFill="1"/>
    <xf numFmtId="164" fontId="3" fillId="4" borderId="0" xfId="0" applyNumberFormat="1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2" fontId="4" fillId="4" borderId="0" xfId="0" applyNumberFormat="1" applyFont="1" applyFill="1"/>
    <xf numFmtId="0" fontId="0" fillId="4" borderId="1" xfId="0" applyFont="1" applyFill="1" applyBorder="1" applyAlignment="1">
      <alignment horizontal="center" vertical="center"/>
    </xf>
    <xf numFmtId="4" fontId="9" fillId="4" borderId="1" xfId="1" applyNumberFormat="1" applyFont="1" applyFill="1" applyBorder="1" applyAlignment="1" applyProtection="1"/>
    <xf numFmtId="4" fontId="1" fillId="4" borderId="3" xfId="0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E84"/>
  <sheetViews>
    <sheetView tabSelected="1" zoomScaleNormal="100" zoomScaleSheetLayoutView="96" workbookViewId="0">
      <pane xSplit="2" ySplit="5" topLeftCell="H6" activePane="bottomRight" state="frozen"/>
      <selection pane="topRight" activeCell="C1" sqref="C1"/>
      <selection pane="bottomLeft" activeCell="A4" sqref="A4"/>
      <selection pane="bottomRight" activeCell="H2" sqref="H2:AV2"/>
    </sheetView>
  </sheetViews>
  <sheetFormatPr defaultRowHeight="12.75"/>
  <cols>
    <col min="1" max="1" width="25" customWidth="1"/>
    <col min="2" max="2" width="11.7109375" style="13" customWidth="1"/>
    <col min="3" max="3" width="6.5703125" style="53" bestFit="1" customWidth="1"/>
    <col min="4" max="4" width="12.7109375" style="44" customWidth="1"/>
    <col min="5" max="5" width="11.7109375" style="54" bestFit="1" customWidth="1"/>
    <col min="6" max="6" width="11.7109375" style="54" customWidth="1"/>
    <col min="7" max="7" width="9.5703125" style="41" customWidth="1"/>
    <col min="8" max="8" width="11.5703125" style="38" customWidth="1"/>
    <col min="9" max="9" width="10.5703125" style="41" hidden="1" customWidth="1"/>
    <col min="10" max="10" width="8.140625" style="41" bestFit="1" customWidth="1"/>
    <col min="11" max="11" width="10.140625" style="38" bestFit="1" customWidth="1"/>
    <col min="12" max="12" width="5.5703125" style="38" bestFit="1" customWidth="1"/>
    <col min="13" max="13" width="10.140625" style="38" bestFit="1" customWidth="1"/>
    <col min="14" max="14" width="8.140625" style="38" bestFit="1" customWidth="1"/>
    <col min="15" max="15" width="10.140625" style="38" bestFit="1" customWidth="1"/>
    <col min="16" max="16" width="5.5703125" style="38" bestFit="1" customWidth="1"/>
    <col min="17" max="17" width="10.28515625" style="38" customWidth="1"/>
    <col min="18" max="18" width="8.140625" style="38" bestFit="1" customWidth="1"/>
    <col min="19" max="19" width="9.85546875" style="38" customWidth="1"/>
    <col min="20" max="24" width="9.5703125" style="38" hidden="1" customWidth="1"/>
    <col min="25" max="25" width="4.5703125" style="38" bestFit="1" customWidth="1"/>
    <col min="26" max="26" width="9.140625" style="38" bestFit="1" customWidth="1"/>
    <col min="27" max="27" width="5.5703125" style="39" bestFit="1" customWidth="1"/>
    <col min="28" max="28" width="8.140625" style="39" bestFit="1" customWidth="1"/>
    <col min="29" max="29" width="6.5703125" style="39" bestFit="1" customWidth="1"/>
    <col min="30" max="30" width="9.140625" style="39" bestFit="1" customWidth="1"/>
    <col min="31" max="31" width="5.5703125" style="39" bestFit="1" customWidth="1"/>
    <col min="32" max="32" width="12.28515625" style="39" customWidth="1"/>
    <col min="33" max="34" width="9.5703125" style="38" hidden="1" customWidth="1"/>
    <col min="35" max="35" width="9.5703125" style="38" customWidth="1"/>
    <col min="36" max="36" width="13.5703125" style="41" customWidth="1"/>
    <col min="37" max="38" width="11.85546875" style="41" customWidth="1"/>
    <col min="39" max="39" width="11.85546875" style="38" customWidth="1"/>
    <col min="40" max="40" width="10.5703125" style="38" customWidth="1"/>
    <col min="41" max="41" width="11.85546875" style="41" customWidth="1"/>
    <col min="42" max="42" width="12.7109375" style="38" customWidth="1"/>
    <col min="43" max="43" width="11.7109375" style="39" customWidth="1"/>
    <col min="44" max="44" width="10.140625" style="39" customWidth="1"/>
    <col min="45" max="45" width="11.7109375" style="39" customWidth="1"/>
    <col min="46" max="46" width="11.7109375" style="43" bestFit="1" customWidth="1"/>
    <col min="47" max="47" width="11" style="44" customWidth="1"/>
    <col min="48" max="48" width="12.85546875" style="38" customWidth="1"/>
    <col min="49" max="49" width="12.28515625" style="3" hidden="1" customWidth="1"/>
    <col min="50" max="50" width="12.28515625" style="10" hidden="1" customWidth="1"/>
    <col min="51" max="51" width="13.42578125" style="11" customWidth="1"/>
    <col min="52" max="52" width="13.42578125" style="27" hidden="1" customWidth="1"/>
    <col min="53" max="53" width="13.42578125" style="12" hidden="1" customWidth="1"/>
    <col min="54" max="54" width="12.42578125" style="3" customWidth="1"/>
    <col min="55" max="55" width="14.85546875" style="13" customWidth="1"/>
    <col min="56" max="56" width="12.7109375" style="13" bestFit="1" customWidth="1"/>
    <col min="57" max="57" width="11.7109375" style="13" bestFit="1" customWidth="1"/>
  </cols>
  <sheetData>
    <row r="2" spans="1:57" ht="15.75">
      <c r="H2" s="117" t="s">
        <v>126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</row>
    <row r="4" spans="1:57" s="21" customFormat="1" ht="87.75" customHeight="1">
      <c r="A4" s="75" t="s">
        <v>0</v>
      </c>
      <c r="B4" s="76" t="s">
        <v>62</v>
      </c>
      <c r="C4" s="66" t="s">
        <v>98</v>
      </c>
      <c r="D4" s="78" t="s">
        <v>88</v>
      </c>
      <c r="E4" s="82" t="s">
        <v>63</v>
      </c>
      <c r="F4" s="83" t="s">
        <v>95</v>
      </c>
      <c r="G4" s="68" t="s">
        <v>98</v>
      </c>
      <c r="H4" s="78" t="s">
        <v>90</v>
      </c>
      <c r="I4" s="78"/>
      <c r="J4" s="80" t="s">
        <v>2</v>
      </c>
      <c r="K4" s="61"/>
      <c r="L4" s="62" t="s">
        <v>66</v>
      </c>
      <c r="M4" s="81"/>
      <c r="N4" s="60" t="s">
        <v>93</v>
      </c>
      <c r="O4" s="77"/>
      <c r="P4" s="60" t="s">
        <v>120</v>
      </c>
      <c r="Q4" s="61"/>
      <c r="R4" s="73" t="s">
        <v>65</v>
      </c>
      <c r="S4" s="74"/>
      <c r="T4" s="60" t="s">
        <v>83</v>
      </c>
      <c r="U4" s="61"/>
      <c r="V4" s="58" t="s">
        <v>84</v>
      </c>
      <c r="W4" s="58" t="s">
        <v>67</v>
      </c>
      <c r="X4" s="58" t="s">
        <v>68</v>
      </c>
      <c r="Y4" s="62" t="s">
        <v>119</v>
      </c>
      <c r="Z4" s="63"/>
      <c r="AA4" s="60" t="s">
        <v>118</v>
      </c>
      <c r="AB4" s="61"/>
      <c r="AC4" s="60" t="s">
        <v>115</v>
      </c>
      <c r="AD4" s="61"/>
      <c r="AE4" s="62" t="s">
        <v>117</v>
      </c>
      <c r="AF4" s="63"/>
      <c r="AG4" s="62" t="s">
        <v>69</v>
      </c>
      <c r="AH4" s="70"/>
      <c r="AI4" s="71" t="s">
        <v>124</v>
      </c>
      <c r="AJ4" s="84" t="s">
        <v>64</v>
      </c>
      <c r="AK4" s="71" t="s">
        <v>85</v>
      </c>
      <c r="AL4" s="71" t="s">
        <v>99</v>
      </c>
      <c r="AM4" s="71" t="s">
        <v>89</v>
      </c>
      <c r="AN4" s="71" t="s">
        <v>86</v>
      </c>
      <c r="AO4" s="71" t="s">
        <v>121</v>
      </c>
      <c r="AP4" s="84" t="s">
        <v>70</v>
      </c>
      <c r="AQ4" s="84" t="s">
        <v>71</v>
      </c>
      <c r="AR4" s="85" t="s">
        <v>97</v>
      </c>
      <c r="AS4" s="85" t="s">
        <v>96</v>
      </c>
      <c r="AT4" s="86" t="s">
        <v>87</v>
      </c>
      <c r="AU4" s="68" t="s">
        <v>125</v>
      </c>
      <c r="AV4" s="85" t="s">
        <v>72</v>
      </c>
      <c r="AW4" s="84" t="s">
        <v>3</v>
      </c>
      <c r="AX4" s="87"/>
      <c r="AY4" s="88" t="s">
        <v>73</v>
      </c>
      <c r="AZ4" s="64" t="s">
        <v>114</v>
      </c>
      <c r="BA4" s="9" t="s">
        <v>94</v>
      </c>
      <c r="BB4" s="6"/>
      <c r="BC4" s="22"/>
      <c r="BD4" s="22"/>
      <c r="BE4" s="22"/>
    </row>
    <row r="5" spans="1:57" s="21" customFormat="1" ht="94.9" customHeight="1">
      <c r="A5" s="75"/>
      <c r="B5" s="76"/>
      <c r="C5" s="67"/>
      <c r="D5" s="79"/>
      <c r="E5" s="89"/>
      <c r="F5" s="90"/>
      <c r="G5" s="69"/>
      <c r="H5" s="91"/>
      <c r="I5" s="79"/>
      <c r="J5" s="30" t="s">
        <v>75</v>
      </c>
      <c r="K5" s="30"/>
      <c r="L5" s="30" t="s">
        <v>76</v>
      </c>
      <c r="M5" s="30" t="s">
        <v>77</v>
      </c>
      <c r="N5" s="30" t="s">
        <v>76</v>
      </c>
      <c r="O5" s="30" t="s">
        <v>77</v>
      </c>
      <c r="P5" s="31" t="s">
        <v>116</v>
      </c>
      <c r="Q5" s="30" t="s">
        <v>77</v>
      </c>
      <c r="R5" s="30" t="s">
        <v>78</v>
      </c>
      <c r="S5" s="30" t="s">
        <v>79</v>
      </c>
      <c r="T5" s="31" t="s">
        <v>75</v>
      </c>
      <c r="U5" s="31" t="s">
        <v>74</v>
      </c>
      <c r="V5" s="31" t="s">
        <v>74</v>
      </c>
      <c r="W5" s="31" t="s">
        <v>75</v>
      </c>
      <c r="X5" s="31" t="s">
        <v>74</v>
      </c>
      <c r="Y5" s="31" t="s">
        <v>116</v>
      </c>
      <c r="Z5" s="30" t="s">
        <v>79</v>
      </c>
      <c r="AA5" s="30" t="s">
        <v>75</v>
      </c>
      <c r="AB5" s="30" t="s">
        <v>79</v>
      </c>
      <c r="AC5" s="31" t="s">
        <v>116</v>
      </c>
      <c r="AD5" s="30" t="s">
        <v>79</v>
      </c>
      <c r="AE5" s="31" t="s">
        <v>116</v>
      </c>
      <c r="AF5" s="30" t="s">
        <v>79</v>
      </c>
      <c r="AG5" s="31" t="s">
        <v>80</v>
      </c>
      <c r="AH5" s="31" t="s">
        <v>74</v>
      </c>
      <c r="AI5" s="72"/>
      <c r="AJ5" s="92"/>
      <c r="AK5" s="93"/>
      <c r="AL5" s="93"/>
      <c r="AM5" s="93"/>
      <c r="AN5" s="93"/>
      <c r="AO5" s="93"/>
      <c r="AP5" s="94"/>
      <c r="AQ5" s="92"/>
      <c r="AR5" s="92"/>
      <c r="AS5" s="92"/>
      <c r="AT5" s="95"/>
      <c r="AU5" s="69"/>
      <c r="AV5" s="92"/>
      <c r="AW5" s="92"/>
      <c r="AX5" s="96"/>
      <c r="AY5" s="97"/>
      <c r="AZ5" s="65"/>
      <c r="BA5" s="23"/>
      <c r="BB5" s="6"/>
      <c r="BC5" s="22"/>
      <c r="BD5" s="22"/>
      <c r="BE5" s="22"/>
    </row>
    <row r="6" spans="1:57" ht="12.75" customHeight="1">
      <c r="A6" s="1" t="s">
        <v>4</v>
      </c>
      <c r="B6" s="18">
        <f>2059.4+328</f>
        <v>2387.4</v>
      </c>
      <c r="C6" s="48">
        <v>14</v>
      </c>
      <c r="D6" s="34">
        <v>100938.57252680234</v>
      </c>
      <c r="E6" s="37">
        <v>48880.747198800011</v>
      </c>
      <c r="F6" s="37"/>
      <c r="G6" s="49">
        <f>COUNT(J6,L6,N6,P6,R6,Y6,AA7,AA6,AA7,AC6,AE6)</f>
        <v>0</v>
      </c>
      <c r="H6" s="32">
        <v>20304.656659695291</v>
      </c>
      <c r="I6" s="34">
        <f t="shared" ref="I6:I37" si="0">H6/B6/12</f>
        <v>0.7087437051358273</v>
      </c>
      <c r="J6" s="50"/>
      <c r="K6" s="32">
        <v>0</v>
      </c>
      <c r="L6" s="32"/>
      <c r="M6" s="32"/>
      <c r="N6" s="32"/>
      <c r="O6" s="32"/>
      <c r="P6" s="32"/>
      <c r="Q6" s="32"/>
      <c r="R6" s="32"/>
      <c r="S6" s="32">
        <v>0</v>
      </c>
      <c r="T6" s="32"/>
      <c r="U6" s="32"/>
      <c r="V6" s="32"/>
      <c r="W6" s="32"/>
      <c r="X6" s="32"/>
      <c r="Y6" s="32"/>
      <c r="Z6" s="32"/>
      <c r="AA6" s="33"/>
      <c r="AB6" s="33">
        <v>0</v>
      </c>
      <c r="AC6" s="33"/>
      <c r="AD6" s="33">
        <v>0</v>
      </c>
      <c r="AE6" s="33"/>
      <c r="AF6" s="33">
        <v>0</v>
      </c>
      <c r="AG6" s="32"/>
      <c r="AH6" s="32"/>
      <c r="AI6" s="32"/>
      <c r="AJ6" s="98">
        <v>75876.09</v>
      </c>
      <c r="AK6" s="34">
        <v>47556.959999999999</v>
      </c>
      <c r="AL6" s="33">
        <v>1385.28</v>
      </c>
      <c r="AM6" s="32">
        <v>37251.463039164504</v>
      </c>
      <c r="AN6" s="32"/>
      <c r="AO6" s="34">
        <v>11906.400000000001</v>
      </c>
      <c r="AP6" s="32">
        <v>199926.36</v>
      </c>
      <c r="AQ6" s="99">
        <v>11250.53</v>
      </c>
      <c r="AR6" s="99">
        <v>2172.0100000000002</v>
      </c>
      <c r="AS6" s="99">
        <v>9078.52</v>
      </c>
      <c r="AT6" s="100">
        <v>12379.265031566487</v>
      </c>
      <c r="AU6" s="101">
        <v>700</v>
      </c>
      <c r="AV6" s="32">
        <v>106310.91494756183</v>
      </c>
      <c r="AW6" s="32"/>
      <c r="AX6" s="34">
        <f t="shared" ref="AX6:AX37" si="1">AV6/B6/12</f>
        <v>3.7108330871646218</v>
      </c>
      <c r="AY6" s="32">
        <f t="shared" ref="AY6:AY8" si="2">D6+E6+H6+S6+K6+M6+O6+Q6+Z6+AB6+AD6+AF6++AL6+AJ6+AK6+AM6+AN6+AO6+AP6+AT6+AU6+AV6+AI6</f>
        <v>663416.70940359042</v>
      </c>
      <c r="AZ6" s="26">
        <f>25.12*B6*12</f>
        <v>719657.85600000003</v>
      </c>
      <c r="BA6" s="19" t="e">
        <f>(#REF!+#REF!+I6+#REF!+#REF!+#REF!+#REF!+AX6)*1.06+#REF!</f>
        <v>#REF!</v>
      </c>
      <c r="BB6" s="24"/>
      <c r="BC6" s="20"/>
      <c r="BD6" s="20"/>
      <c r="BE6" s="20"/>
    </row>
    <row r="7" spans="1:57" ht="12.75" customHeight="1">
      <c r="A7" s="1" t="s">
        <v>60</v>
      </c>
      <c r="B7" s="8">
        <v>1802.4</v>
      </c>
      <c r="C7" s="48">
        <v>13</v>
      </c>
      <c r="D7" s="34">
        <v>94519.148572634906</v>
      </c>
      <c r="E7" s="37">
        <v>34608.415168799998</v>
      </c>
      <c r="F7" s="37"/>
      <c r="G7" s="49">
        <f t="shared" ref="G7:G64" si="3">COUNT(J7,L7,N7,P7,R7,Y7,AA8,AA7,AA8,AC7,AE7)</f>
        <v>0</v>
      </c>
      <c r="H7" s="32">
        <v>15329.275849641781</v>
      </c>
      <c r="I7" s="34">
        <f t="shared" si="0"/>
        <v>0.70874370513582718</v>
      </c>
      <c r="J7" s="50"/>
      <c r="K7" s="32">
        <v>0</v>
      </c>
      <c r="L7" s="32"/>
      <c r="M7" s="32"/>
      <c r="N7" s="32"/>
      <c r="O7" s="32"/>
      <c r="P7" s="32"/>
      <c r="Q7" s="32"/>
      <c r="R7" s="32"/>
      <c r="S7" s="32">
        <v>0</v>
      </c>
      <c r="T7" s="32"/>
      <c r="U7" s="32"/>
      <c r="V7" s="32"/>
      <c r="W7" s="32"/>
      <c r="X7" s="32"/>
      <c r="Y7" s="32"/>
      <c r="Z7" s="32"/>
      <c r="AA7" s="33"/>
      <c r="AB7" s="33">
        <v>0</v>
      </c>
      <c r="AC7" s="33"/>
      <c r="AD7" s="33">
        <v>0</v>
      </c>
      <c r="AE7" s="33"/>
      <c r="AF7" s="33">
        <v>0</v>
      </c>
      <c r="AG7" s="32"/>
      <c r="AH7" s="32"/>
      <c r="AI7" s="32"/>
      <c r="AJ7" s="98">
        <v>66407.23</v>
      </c>
      <c r="AK7" s="34">
        <v>35903.760000000002</v>
      </c>
      <c r="AL7" s="33">
        <v>1460.1599999999999</v>
      </c>
      <c r="AM7" s="32">
        <v>29341.494507074683</v>
      </c>
      <c r="AN7" s="32"/>
      <c r="AO7" s="34">
        <v>10967.183999999999</v>
      </c>
      <c r="AP7" s="32">
        <v>175336.56</v>
      </c>
      <c r="AQ7" s="99">
        <v>11127.2</v>
      </c>
      <c r="AR7" s="99">
        <v>2148.1999999999998</v>
      </c>
      <c r="AS7" s="99">
        <v>8979</v>
      </c>
      <c r="AT7" s="100">
        <v>11083.556946680088</v>
      </c>
      <c r="AU7" s="101">
        <v>6006.42</v>
      </c>
      <c r="AV7" s="32">
        <v>77342.289705641946</v>
      </c>
      <c r="AW7" s="32"/>
      <c r="AX7" s="34">
        <f t="shared" si="1"/>
        <v>3.5758937021768169</v>
      </c>
      <c r="AY7" s="32">
        <f t="shared" si="2"/>
        <v>558305.49475047342</v>
      </c>
      <c r="AZ7" s="26">
        <f t="shared" ref="AZ7:AZ53" si="4">25.12*B7*12</f>
        <v>543315.45600000001</v>
      </c>
      <c r="BA7" s="19" t="e">
        <f>(#REF!+#REF!+I7+#REF!+#REF!+#REF!+#REF!+AX7)*1.06+#REF!</f>
        <v>#REF!</v>
      </c>
      <c r="BB7" s="24"/>
      <c r="BC7" s="20"/>
      <c r="BD7" s="20"/>
      <c r="BE7" s="20"/>
    </row>
    <row r="8" spans="1:57" ht="12.75" customHeight="1">
      <c r="A8" s="1" t="s">
        <v>5</v>
      </c>
      <c r="B8" s="8">
        <f>1961.1+118.9</f>
        <v>2080</v>
      </c>
      <c r="C8" s="48">
        <v>13</v>
      </c>
      <c r="D8" s="34">
        <v>94893.377170373147</v>
      </c>
      <c r="E8" s="37">
        <v>41063.298407999995</v>
      </c>
      <c r="F8" s="37"/>
      <c r="G8" s="49">
        <f t="shared" si="3"/>
        <v>1</v>
      </c>
      <c r="H8" s="32">
        <v>45850.242880190257</v>
      </c>
      <c r="I8" s="34">
        <f t="shared" si="0"/>
        <v>1.8369488333409558</v>
      </c>
      <c r="J8" s="50"/>
      <c r="K8" s="32">
        <v>0</v>
      </c>
      <c r="L8" s="32"/>
      <c r="M8" s="32"/>
      <c r="N8" s="32"/>
      <c r="O8" s="32"/>
      <c r="P8" s="32"/>
      <c r="Q8" s="32"/>
      <c r="R8" s="32">
        <v>64</v>
      </c>
      <c r="S8" s="32">
        <v>12800</v>
      </c>
      <c r="T8" s="32"/>
      <c r="U8" s="32"/>
      <c r="V8" s="32"/>
      <c r="W8" s="32"/>
      <c r="X8" s="32"/>
      <c r="Y8" s="32"/>
      <c r="Z8" s="32"/>
      <c r="AA8" s="33"/>
      <c r="AB8" s="33">
        <v>0</v>
      </c>
      <c r="AC8" s="33"/>
      <c r="AD8" s="33">
        <v>0</v>
      </c>
      <c r="AE8" s="33"/>
      <c r="AF8" s="33">
        <v>0</v>
      </c>
      <c r="AG8" s="32"/>
      <c r="AH8" s="32"/>
      <c r="AI8" s="32"/>
      <c r="AJ8" s="98">
        <v>72254.350000000006</v>
      </c>
      <c r="AK8" s="34">
        <v>41433.600000000006</v>
      </c>
      <c r="AL8" s="33">
        <v>1385.28</v>
      </c>
      <c r="AM8" s="32">
        <v>34129.478891874911</v>
      </c>
      <c r="AN8" s="32"/>
      <c r="AO8" s="34">
        <v>11378.400000000001</v>
      </c>
      <c r="AP8" s="32">
        <v>190383.84</v>
      </c>
      <c r="AQ8" s="99">
        <v>12103.57</v>
      </c>
      <c r="AR8" s="99">
        <v>2336.6999999999998</v>
      </c>
      <c r="AS8" s="99">
        <v>9766.8700000000008</v>
      </c>
      <c r="AT8" s="100">
        <v>12578.289416250926</v>
      </c>
      <c r="AU8" s="101">
        <v>1716.08</v>
      </c>
      <c r="AV8" s="32">
        <v>92622.393855628965</v>
      </c>
      <c r="AW8" s="32"/>
      <c r="AX8" s="34">
        <f t="shared" si="1"/>
        <v>3.7108330871646218</v>
      </c>
      <c r="AY8" s="32">
        <f t="shared" si="2"/>
        <v>652488.63062231801</v>
      </c>
      <c r="AZ8" s="26">
        <f t="shared" si="4"/>
        <v>626995.19999999995</v>
      </c>
      <c r="BA8" s="19" t="e">
        <f>(#REF!+#REF!+I8+#REF!+#REF!+#REF!+#REF!+AX8)*1.06+#REF!</f>
        <v>#REF!</v>
      </c>
      <c r="BB8" s="24"/>
      <c r="BC8" s="20"/>
      <c r="BD8" s="20"/>
      <c r="BE8" s="20"/>
    </row>
    <row r="9" spans="1:57" s="7" customFormat="1">
      <c r="A9" s="4" t="s">
        <v>6</v>
      </c>
      <c r="B9" s="8">
        <f>3633.4+1504.6</f>
        <v>5138</v>
      </c>
      <c r="C9" s="48">
        <v>12</v>
      </c>
      <c r="D9" s="34">
        <v>367118.50645760074</v>
      </c>
      <c r="E9" s="37">
        <v>125998.19060399997</v>
      </c>
      <c r="F9" s="37">
        <v>36720.839999999997</v>
      </c>
      <c r="G9" s="49">
        <f t="shared" si="3"/>
        <v>1</v>
      </c>
      <c r="H9" s="32">
        <v>48318.301883854569</v>
      </c>
      <c r="I9" s="34">
        <f t="shared" si="0"/>
        <v>0.78367558524481906</v>
      </c>
      <c r="J9" s="51">
        <v>10</v>
      </c>
      <c r="K9" s="32">
        <v>2100</v>
      </c>
      <c r="L9" s="32"/>
      <c r="M9" s="32"/>
      <c r="N9" s="32"/>
      <c r="O9" s="32"/>
      <c r="P9" s="32"/>
      <c r="Q9" s="32"/>
      <c r="R9" s="32"/>
      <c r="S9" s="32">
        <v>0</v>
      </c>
      <c r="T9" s="32"/>
      <c r="U9" s="32"/>
      <c r="V9" s="32"/>
      <c r="W9" s="32"/>
      <c r="X9" s="32"/>
      <c r="Y9" s="32"/>
      <c r="Z9" s="32"/>
      <c r="AA9" s="33"/>
      <c r="AB9" s="33">
        <v>0</v>
      </c>
      <c r="AC9" s="33"/>
      <c r="AD9" s="33">
        <v>0</v>
      </c>
      <c r="AE9" s="33"/>
      <c r="AF9" s="33">
        <v>0</v>
      </c>
      <c r="AG9" s="32"/>
      <c r="AH9" s="32"/>
      <c r="AI9" s="32"/>
      <c r="AJ9" s="98">
        <v>133868.21</v>
      </c>
      <c r="AK9" s="34">
        <v>179360.16</v>
      </c>
      <c r="AL9" s="33">
        <v>2471.0400000000004</v>
      </c>
      <c r="AM9" s="32">
        <v>211914.15141175641</v>
      </c>
      <c r="AN9" s="32"/>
      <c r="AO9" s="34">
        <v>25132.800000000003</v>
      </c>
      <c r="AP9" s="32">
        <v>353652.84</v>
      </c>
      <c r="AQ9" s="99">
        <v>18999.830000000002</v>
      </c>
      <c r="AR9" s="99">
        <v>3668.08</v>
      </c>
      <c r="AS9" s="99">
        <v>15331.75</v>
      </c>
      <c r="AT9" s="100">
        <v>26813.183997944514</v>
      </c>
      <c r="AU9" s="101">
        <v>11004.55</v>
      </c>
      <c r="AV9" s="32">
        <v>228795.12482222193</v>
      </c>
      <c r="AW9" s="32"/>
      <c r="AX9" s="34">
        <f t="shared" si="1"/>
        <v>3.7108330871646218</v>
      </c>
      <c r="AY9" s="32">
        <f>D9+E9+H9+S9+K9+M9+O9+Q9+Z9+AB9+AD9+AF9++AL9+AJ9+AK9+AM9+AN9+AO9+AP9+AT9+AU9+AV9+AI9</f>
        <v>1716547.0591773782</v>
      </c>
      <c r="AZ9" s="26">
        <f>28.06*B9*12</f>
        <v>1730067.3599999999</v>
      </c>
      <c r="BA9" s="19" t="e">
        <f>(#REF!+#REF!+I9+#REF!+#REF!+#REF!+#REF!+AX9)*1.06+#REF!</f>
        <v>#REF!</v>
      </c>
      <c r="BB9" s="24"/>
      <c r="BC9" s="20"/>
      <c r="BD9" s="20"/>
      <c r="BE9" s="20"/>
    </row>
    <row r="10" spans="1:57" ht="12.75" customHeight="1">
      <c r="A10" s="1" t="s">
        <v>7</v>
      </c>
      <c r="B10" s="8">
        <v>5664.7</v>
      </c>
      <c r="C10" s="48">
        <v>9</v>
      </c>
      <c r="D10" s="34">
        <v>198692.38872337155</v>
      </c>
      <c r="E10" s="37">
        <v>108875.8625526</v>
      </c>
      <c r="F10" s="37"/>
      <c r="G10" s="49">
        <f t="shared" si="3"/>
        <v>1</v>
      </c>
      <c r="H10" s="32">
        <v>65777.845597795051</v>
      </c>
      <c r="I10" s="34">
        <f t="shared" si="0"/>
        <v>0.96765709272328415</v>
      </c>
      <c r="J10" s="51"/>
      <c r="K10" s="32">
        <v>0</v>
      </c>
      <c r="L10" s="32"/>
      <c r="M10" s="32"/>
      <c r="N10" s="32"/>
      <c r="O10" s="32"/>
      <c r="P10" s="32"/>
      <c r="Q10" s="32"/>
      <c r="R10" s="32">
        <v>40</v>
      </c>
      <c r="S10" s="32">
        <v>8000</v>
      </c>
      <c r="T10" s="32"/>
      <c r="U10" s="32"/>
      <c r="V10" s="32"/>
      <c r="W10" s="32"/>
      <c r="X10" s="32"/>
      <c r="Y10" s="32"/>
      <c r="Z10" s="32"/>
      <c r="AA10" s="33"/>
      <c r="AB10" s="33">
        <v>0</v>
      </c>
      <c r="AC10" s="33"/>
      <c r="AD10" s="33">
        <v>0</v>
      </c>
      <c r="AE10" s="33"/>
      <c r="AF10" s="33">
        <v>0</v>
      </c>
      <c r="AG10" s="32"/>
      <c r="AH10" s="32"/>
      <c r="AI10" s="32"/>
      <c r="AJ10" s="98">
        <v>208709.01</v>
      </c>
      <c r="AK10" s="34">
        <v>112840.79999999999</v>
      </c>
      <c r="AL10" s="33">
        <v>3542.4</v>
      </c>
      <c r="AM10" s="32">
        <v>83211.278898507604</v>
      </c>
      <c r="AN10" s="32"/>
      <c r="AO10" s="34">
        <v>88199.760000000009</v>
      </c>
      <c r="AP10" s="32"/>
      <c r="AQ10" s="99">
        <v>20465.949999999997</v>
      </c>
      <c r="AR10" s="99">
        <v>4165.49</v>
      </c>
      <c r="AS10" s="99">
        <v>16300.46</v>
      </c>
      <c r="AT10" s="100">
        <v>27512.374118660664</v>
      </c>
      <c r="AU10" s="101">
        <v>11019.65</v>
      </c>
      <c r="AV10" s="32">
        <v>252249.07426633721</v>
      </c>
      <c r="AW10" s="32"/>
      <c r="AX10" s="34">
        <f t="shared" si="1"/>
        <v>3.7108330871646218</v>
      </c>
      <c r="AY10" s="32">
        <f>D10+E10+H10+S10+K10+M10+O10+Q10+Z10+AB10+AD10+AF10++AL10+AJ10+AK10+AM10+AN10+AO10+AP10+AT10+AU10+AV10+AI10</f>
        <v>1168630.4441572721</v>
      </c>
      <c r="AZ10" s="26">
        <f>17.03*B10*12</f>
        <v>1157638.0919999999</v>
      </c>
      <c r="BA10" s="19" t="e">
        <f>(#REF!+#REF!+I10+#REF!+#REF!+#REF!+#REF!+AX10)*1.06+#REF!</f>
        <v>#REF!</v>
      </c>
      <c r="BB10" s="24"/>
      <c r="BC10" s="20"/>
      <c r="BD10" s="20"/>
      <c r="BE10" s="20"/>
    </row>
    <row r="11" spans="1:57">
      <c r="A11" s="1" t="s">
        <v>8</v>
      </c>
      <c r="B11" s="8">
        <f>2714+264.4</f>
        <v>2978.4</v>
      </c>
      <c r="C11" s="48">
        <v>12</v>
      </c>
      <c r="D11" s="34">
        <v>119477.35241896125</v>
      </c>
      <c r="E11" s="37">
        <v>57495.6444348</v>
      </c>
      <c r="F11" s="37">
        <v>27357.48</v>
      </c>
      <c r="G11" s="49">
        <f t="shared" si="3"/>
        <v>3</v>
      </c>
      <c r="H11" s="32">
        <v>90829.467016518582</v>
      </c>
      <c r="I11" s="34">
        <f t="shared" si="0"/>
        <v>2.5413383868441271</v>
      </c>
      <c r="J11" s="51">
        <v>120</v>
      </c>
      <c r="K11" s="32">
        <v>25200</v>
      </c>
      <c r="L11" s="32"/>
      <c r="M11" s="32"/>
      <c r="N11" s="32"/>
      <c r="O11" s="32"/>
      <c r="P11" s="32"/>
      <c r="Q11" s="32"/>
      <c r="R11" s="32">
        <v>22</v>
      </c>
      <c r="S11" s="32">
        <v>4400</v>
      </c>
      <c r="T11" s="32"/>
      <c r="U11" s="32"/>
      <c r="V11" s="32"/>
      <c r="W11" s="32"/>
      <c r="X11" s="32"/>
      <c r="Y11" s="32"/>
      <c r="Z11" s="32"/>
      <c r="AA11" s="33"/>
      <c r="AB11" s="33">
        <v>0</v>
      </c>
      <c r="AC11" s="33">
        <v>4</v>
      </c>
      <c r="AD11" s="33">
        <v>344</v>
      </c>
      <c r="AE11" s="33"/>
      <c r="AF11" s="33">
        <v>0</v>
      </c>
      <c r="AG11" s="32"/>
      <c r="AH11" s="32"/>
      <c r="AI11" s="32"/>
      <c r="AJ11" s="98">
        <v>99994.05</v>
      </c>
      <c r="AK11" s="34">
        <v>59329.680000000008</v>
      </c>
      <c r="AL11" s="33">
        <v>2246.4</v>
      </c>
      <c r="AM11" s="32">
        <v>40043.830583844778</v>
      </c>
      <c r="AN11" s="32">
        <v>12500</v>
      </c>
      <c r="AO11" s="34">
        <v>44674.080000000009</v>
      </c>
      <c r="AP11" s="32"/>
      <c r="AQ11" s="99">
        <v>9948.7199999999993</v>
      </c>
      <c r="AR11" s="99">
        <v>2024.89</v>
      </c>
      <c r="AS11" s="99">
        <v>7923.83</v>
      </c>
      <c r="AT11" s="100">
        <v>14105.959217119429</v>
      </c>
      <c r="AU11" s="101">
        <v>2961.05</v>
      </c>
      <c r="AV11" s="32">
        <v>132628.14320173333</v>
      </c>
      <c r="AW11" s="32"/>
      <c r="AX11" s="34">
        <f t="shared" si="1"/>
        <v>3.7108330871646218</v>
      </c>
      <c r="AY11" s="32">
        <f t="shared" ref="AY11:AY65" si="5">D11+E11+H11+S11+K11+M11+O11+Q11+Z11+AB11+AD11+AF11++AL11+AJ11+AK11+AM11+AN11+AO11+AP11+AT11+AU11+AV11+AI11</f>
        <v>706229.65687297739</v>
      </c>
      <c r="AZ11" s="26">
        <f>17.87*B11*12</f>
        <v>638688.09600000002</v>
      </c>
      <c r="BA11" s="19" t="e">
        <f>(#REF!+#REF!+I11+#REF!+#REF!+#REF!+#REF!+AX11)*1.06+#REF!</f>
        <v>#REF!</v>
      </c>
      <c r="BB11" s="24"/>
      <c r="BC11" s="20"/>
      <c r="BD11" s="20"/>
      <c r="BE11" s="20"/>
    </row>
    <row r="12" spans="1:57" ht="12.75" customHeight="1">
      <c r="A12" s="1" t="s">
        <v>9</v>
      </c>
      <c r="B12" s="8">
        <f>10000.8+155.2</f>
        <v>10156</v>
      </c>
      <c r="C12" s="48">
        <v>15</v>
      </c>
      <c r="D12" s="34">
        <v>347007.68026299309</v>
      </c>
      <c r="E12" s="37">
        <v>188100.76690079999</v>
      </c>
      <c r="F12" s="37"/>
      <c r="G12" s="49">
        <f t="shared" si="3"/>
        <v>2</v>
      </c>
      <c r="H12" s="32">
        <v>121946.2669111385</v>
      </c>
      <c r="I12" s="34">
        <f t="shared" si="0"/>
        <v>1.0006093845275248</v>
      </c>
      <c r="J12" s="51">
        <v>26</v>
      </c>
      <c r="K12" s="32">
        <v>5460</v>
      </c>
      <c r="L12" s="32"/>
      <c r="M12" s="32"/>
      <c r="N12" s="32"/>
      <c r="O12" s="32"/>
      <c r="P12" s="32"/>
      <c r="Q12" s="32"/>
      <c r="R12" s="32">
        <v>64</v>
      </c>
      <c r="S12" s="32">
        <v>12800</v>
      </c>
      <c r="T12" s="32"/>
      <c r="U12" s="32"/>
      <c r="V12" s="32"/>
      <c r="W12" s="32"/>
      <c r="X12" s="32"/>
      <c r="Y12" s="32"/>
      <c r="Z12" s="32"/>
      <c r="AA12" s="33"/>
      <c r="AB12" s="33">
        <v>0</v>
      </c>
      <c r="AC12" s="33"/>
      <c r="AD12" s="33">
        <v>0</v>
      </c>
      <c r="AE12" s="33"/>
      <c r="AF12" s="33">
        <v>0</v>
      </c>
      <c r="AG12" s="32"/>
      <c r="AH12" s="32"/>
      <c r="AI12" s="32"/>
      <c r="AJ12" s="98">
        <v>368445.25</v>
      </c>
      <c r="AK12" s="34">
        <v>202873.19999999998</v>
      </c>
      <c r="AL12" s="33">
        <v>8087.0399999999991</v>
      </c>
      <c r="AM12" s="32">
        <v>162055.98417590462</v>
      </c>
      <c r="AN12" s="32">
        <v>12500</v>
      </c>
      <c r="AO12" s="34">
        <v>154833.36000000002</v>
      </c>
      <c r="AP12" s="32"/>
      <c r="AQ12" s="99">
        <v>36211.740000000005</v>
      </c>
      <c r="AR12" s="99">
        <v>7370.27</v>
      </c>
      <c r="AS12" s="99">
        <v>28841.47</v>
      </c>
      <c r="AT12" s="100">
        <v>49396.705121111139</v>
      </c>
      <c r="AU12" s="101">
        <v>9757.74</v>
      </c>
      <c r="AV12" s="32">
        <v>452246.64999892679</v>
      </c>
      <c r="AW12" s="32"/>
      <c r="AX12" s="34">
        <f t="shared" si="1"/>
        <v>3.7108330871646218</v>
      </c>
      <c r="AY12" s="32">
        <f t="shared" si="5"/>
        <v>2095510.6433708742</v>
      </c>
      <c r="AZ12" s="26">
        <f>17.03*B12*12</f>
        <v>2075480.1600000001</v>
      </c>
      <c r="BA12" s="19" t="e">
        <f>(#REF!+#REF!+I12+#REF!+#REF!+#REF!+#REF!+AX12)*1.06+#REF!</f>
        <v>#REF!</v>
      </c>
      <c r="BB12" s="24"/>
      <c r="BC12" s="20"/>
      <c r="BD12" s="20"/>
      <c r="BE12" s="20"/>
    </row>
    <row r="13" spans="1:57" ht="12.75" customHeight="1">
      <c r="A13" s="1" t="s">
        <v>10</v>
      </c>
      <c r="B13" s="8">
        <f>7921.5+137.9</f>
        <v>8059.4</v>
      </c>
      <c r="C13" s="48">
        <v>12</v>
      </c>
      <c r="D13" s="34">
        <v>295626.16724139679</v>
      </c>
      <c r="E13" s="37">
        <v>154902.13544519999</v>
      </c>
      <c r="F13" s="37"/>
      <c r="G13" s="49">
        <f t="shared" si="3"/>
        <v>4</v>
      </c>
      <c r="H13" s="32">
        <v>218008.18820606024</v>
      </c>
      <c r="I13" s="34">
        <f t="shared" si="0"/>
        <v>2.254181330765527</v>
      </c>
      <c r="J13" s="51">
        <v>24</v>
      </c>
      <c r="K13" s="32">
        <v>5040</v>
      </c>
      <c r="L13" s="32"/>
      <c r="M13" s="32"/>
      <c r="N13" s="32">
        <v>640</v>
      </c>
      <c r="O13" s="32">
        <v>55040</v>
      </c>
      <c r="P13" s="32"/>
      <c r="Q13" s="32"/>
      <c r="R13" s="32">
        <v>38</v>
      </c>
      <c r="S13" s="32">
        <v>7600</v>
      </c>
      <c r="T13" s="32"/>
      <c r="U13" s="32"/>
      <c r="V13" s="32"/>
      <c r="W13" s="32"/>
      <c r="X13" s="32"/>
      <c r="Y13" s="32"/>
      <c r="Z13" s="32"/>
      <c r="AA13" s="33"/>
      <c r="AB13" s="33">
        <v>0</v>
      </c>
      <c r="AC13" s="33">
        <v>6</v>
      </c>
      <c r="AD13" s="33">
        <v>516</v>
      </c>
      <c r="AE13" s="33"/>
      <c r="AF13" s="33">
        <v>0</v>
      </c>
      <c r="AG13" s="32"/>
      <c r="AH13" s="32"/>
      <c r="AI13" s="32"/>
      <c r="AJ13" s="98">
        <v>291858.08</v>
      </c>
      <c r="AK13" s="34">
        <v>160543.20000000001</v>
      </c>
      <c r="AL13" s="33">
        <v>6289.92</v>
      </c>
      <c r="AM13" s="32">
        <v>118574.82219948668</v>
      </c>
      <c r="AN13" s="32"/>
      <c r="AO13" s="100">
        <v>121730.40000000001</v>
      </c>
      <c r="AP13" s="32"/>
      <c r="AQ13" s="99">
        <v>30754.959999999999</v>
      </c>
      <c r="AR13" s="99">
        <v>6259.64</v>
      </c>
      <c r="AS13" s="99">
        <v>24495.32</v>
      </c>
      <c r="AT13" s="100">
        <v>39053.529964856229</v>
      </c>
      <c r="AU13" s="101">
        <v>2832.6</v>
      </c>
      <c r="AV13" s="32">
        <v>358885.0581923346</v>
      </c>
      <c r="AW13" s="32"/>
      <c r="AX13" s="34">
        <f t="shared" si="1"/>
        <v>3.7108330871646213</v>
      </c>
      <c r="AY13" s="32">
        <f t="shared" si="5"/>
        <v>1836500.1012493346</v>
      </c>
      <c r="AZ13" s="26">
        <f>17.03*B13*12</f>
        <v>1647018.9839999999</v>
      </c>
      <c r="BA13" s="19" t="e">
        <f>(#REF!+#REF!+I13+#REF!+#REF!+#REF!+#REF!+AX13)*1.06+#REF!</f>
        <v>#REF!</v>
      </c>
      <c r="BB13" s="24"/>
      <c r="BC13" s="20"/>
      <c r="BD13" s="20"/>
      <c r="BE13" s="20"/>
    </row>
    <row r="14" spans="1:57" ht="12.75" customHeight="1">
      <c r="A14" s="1" t="s">
        <v>11</v>
      </c>
      <c r="B14" s="8">
        <f>7880.8+129.5</f>
        <v>8010.3</v>
      </c>
      <c r="C14" s="48">
        <v>10</v>
      </c>
      <c r="D14" s="34">
        <v>271147.92157493636</v>
      </c>
      <c r="E14" s="37">
        <v>148359.94221204001</v>
      </c>
      <c r="F14" s="37"/>
      <c r="G14" s="49">
        <f t="shared" si="3"/>
        <v>4</v>
      </c>
      <c r="H14" s="32">
        <v>222921.85109081259</v>
      </c>
      <c r="I14" s="34">
        <f t="shared" si="0"/>
        <v>2.3191167527101837</v>
      </c>
      <c r="J14" s="51">
        <v>10</v>
      </c>
      <c r="K14" s="32">
        <v>2100</v>
      </c>
      <c r="L14" s="32"/>
      <c r="M14" s="32"/>
      <c r="N14" s="32">
        <v>640</v>
      </c>
      <c r="O14" s="32">
        <v>55040</v>
      </c>
      <c r="P14" s="32"/>
      <c r="Q14" s="32"/>
      <c r="R14" s="32">
        <v>52</v>
      </c>
      <c r="S14" s="32">
        <v>10400</v>
      </c>
      <c r="T14" s="32"/>
      <c r="U14" s="32"/>
      <c r="V14" s="32"/>
      <c r="W14" s="32"/>
      <c r="X14" s="32"/>
      <c r="Y14" s="32"/>
      <c r="Z14" s="32"/>
      <c r="AA14" s="33"/>
      <c r="AB14" s="33">
        <v>0</v>
      </c>
      <c r="AC14" s="33"/>
      <c r="AD14" s="33">
        <v>0</v>
      </c>
      <c r="AE14" s="33">
        <v>2</v>
      </c>
      <c r="AF14" s="33">
        <v>13290</v>
      </c>
      <c r="AG14" s="32"/>
      <c r="AH14" s="32"/>
      <c r="AI14" s="32"/>
      <c r="AJ14" s="98">
        <v>290288.52</v>
      </c>
      <c r="AK14" s="34">
        <v>159529.32</v>
      </c>
      <c r="AL14" s="33">
        <v>6327.36</v>
      </c>
      <c r="AM14" s="32">
        <v>127548.23045196423</v>
      </c>
      <c r="AN14" s="32"/>
      <c r="AO14" s="34">
        <v>121685.52</v>
      </c>
      <c r="AP14" s="32"/>
      <c r="AQ14" s="99">
        <v>29201.599999999999</v>
      </c>
      <c r="AR14" s="99">
        <v>5943.48</v>
      </c>
      <c r="AS14" s="99">
        <v>23258.12</v>
      </c>
      <c r="AT14" s="100">
        <v>38847.89840073204</v>
      </c>
      <c r="AU14" s="101">
        <v>8110.62</v>
      </c>
      <c r="AV14" s="32">
        <v>356698.63533737726</v>
      </c>
      <c r="AW14" s="32"/>
      <c r="AX14" s="34">
        <f t="shared" si="1"/>
        <v>3.7108330871646218</v>
      </c>
      <c r="AY14" s="32">
        <f t="shared" si="5"/>
        <v>1832295.8190678626</v>
      </c>
      <c r="AZ14" s="26">
        <f>17.03*B14*12</f>
        <v>1636984.9080000003</v>
      </c>
      <c r="BA14" s="19" t="e">
        <f>(#REF!+#REF!+I14+#REF!+#REF!+#REF!+#REF!+AX14)*1.06+#REF!</f>
        <v>#REF!</v>
      </c>
      <c r="BB14" s="24"/>
      <c r="BC14" s="20"/>
      <c r="BD14" s="20"/>
      <c r="BE14" s="20"/>
    </row>
    <row r="15" spans="1:57">
      <c r="A15" s="1" t="s">
        <v>1</v>
      </c>
      <c r="B15" s="8">
        <f>18233.9+941.9</f>
        <v>19175.800000000003</v>
      </c>
      <c r="C15" s="48">
        <v>15</v>
      </c>
      <c r="D15" s="34">
        <v>811656.66505115991</v>
      </c>
      <c r="E15" s="37">
        <v>436626.16035480011</v>
      </c>
      <c r="F15" s="37">
        <v>183798</v>
      </c>
      <c r="G15" s="49">
        <f t="shared" si="3"/>
        <v>4</v>
      </c>
      <c r="H15" s="32">
        <v>243027.82694429101</v>
      </c>
      <c r="I15" s="34">
        <f t="shared" si="0"/>
        <v>1.0561394524361043</v>
      </c>
      <c r="J15" s="51">
        <v>18</v>
      </c>
      <c r="K15" s="32">
        <v>3780</v>
      </c>
      <c r="L15" s="32"/>
      <c r="M15" s="32"/>
      <c r="N15" s="32"/>
      <c r="O15" s="32"/>
      <c r="P15" s="32"/>
      <c r="Q15" s="32"/>
      <c r="R15" s="32">
        <v>42</v>
      </c>
      <c r="S15" s="32">
        <v>8400</v>
      </c>
      <c r="T15" s="32"/>
      <c r="U15" s="32"/>
      <c r="V15" s="32"/>
      <c r="W15" s="32"/>
      <c r="X15" s="32"/>
      <c r="Y15" s="32"/>
      <c r="Z15" s="32"/>
      <c r="AA15" s="33"/>
      <c r="AB15" s="33">
        <v>0</v>
      </c>
      <c r="AC15" s="33">
        <v>12</v>
      </c>
      <c r="AD15" s="33">
        <v>1032</v>
      </c>
      <c r="AE15" s="33">
        <v>2</v>
      </c>
      <c r="AF15" s="33">
        <v>13290</v>
      </c>
      <c r="AG15" s="32"/>
      <c r="AH15" s="32"/>
      <c r="AI15" s="32"/>
      <c r="AJ15" s="98">
        <v>671835.42</v>
      </c>
      <c r="AK15" s="34">
        <v>354958.32</v>
      </c>
      <c r="AL15" s="33">
        <v>13366.08</v>
      </c>
      <c r="AM15" s="32">
        <v>302731.88503837259</v>
      </c>
      <c r="AN15" s="32">
        <v>12500</v>
      </c>
      <c r="AO15" s="34">
        <v>284580.78000000003</v>
      </c>
      <c r="AP15" s="32"/>
      <c r="AQ15" s="99">
        <v>70109.460000000006</v>
      </c>
      <c r="AR15" s="99">
        <v>14269.56</v>
      </c>
      <c r="AS15" s="99">
        <v>55839.9</v>
      </c>
      <c r="AT15" s="100">
        <v>91325.884856937308</v>
      </c>
      <c r="AU15" s="101">
        <v>17843.16</v>
      </c>
      <c r="AV15" s="32">
        <v>853898.31735421647</v>
      </c>
      <c r="AW15" s="32"/>
      <c r="AX15" s="34">
        <f t="shared" si="1"/>
        <v>3.7108330871646218</v>
      </c>
      <c r="AY15" s="32">
        <f t="shared" si="5"/>
        <v>4120852.4995997772</v>
      </c>
      <c r="AZ15" s="26">
        <f>17.87*B15*12</f>
        <v>4112058.5520000011</v>
      </c>
      <c r="BA15" s="19" t="e">
        <f>(#REF!+#REF!+I15+#REF!+#REF!+#REF!+#REF!+AX15)*1.06+#REF!</f>
        <v>#REF!</v>
      </c>
      <c r="BB15" s="24"/>
      <c r="BC15" s="20"/>
      <c r="BD15" s="20"/>
      <c r="BE15" s="20"/>
    </row>
    <row r="16" spans="1:57" ht="12.75" customHeight="1">
      <c r="A16" s="1" t="s">
        <v>12</v>
      </c>
      <c r="B16" s="8">
        <f>4195.4+61.7</f>
        <v>4257.0999999999995</v>
      </c>
      <c r="C16" s="48">
        <v>13</v>
      </c>
      <c r="D16" s="34">
        <v>155046.62252619024</v>
      </c>
      <c r="E16" s="37">
        <v>81821.708911799986</v>
      </c>
      <c r="F16" s="37"/>
      <c r="G16" s="49">
        <f t="shared" si="3"/>
        <v>1</v>
      </c>
      <c r="H16" s="32">
        <v>52046.313925604758</v>
      </c>
      <c r="I16" s="34">
        <f t="shared" si="0"/>
        <v>1.0188139407422261</v>
      </c>
      <c r="J16" s="51"/>
      <c r="K16" s="32">
        <v>0</v>
      </c>
      <c r="L16" s="32"/>
      <c r="M16" s="32"/>
      <c r="N16" s="32"/>
      <c r="O16" s="32"/>
      <c r="P16" s="32"/>
      <c r="Q16" s="32"/>
      <c r="R16" s="32">
        <v>36</v>
      </c>
      <c r="S16" s="32">
        <v>7200</v>
      </c>
      <c r="T16" s="32"/>
      <c r="U16" s="32"/>
      <c r="V16" s="32"/>
      <c r="W16" s="32"/>
      <c r="X16" s="32"/>
      <c r="Y16" s="32"/>
      <c r="Z16" s="32"/>
      <c r="AA16" s="33"/>
      <c r="AB16" s="33">
        <v>0</v>
      </c>
      <c r="AC16" s="33"/>
      <c r="AD16" s="33">
        <v>0</v>
      </c>
      <c r="AE16" s="33"/>
      <c r="AF16" s="33">
        <v>0</v>
      </c>
      <c r="AG16" s="32"/>
      <c r="AH16" s="32"/>
      <c r="AI16" s="32"/>
      <c r="AJ16" s="98">
        <v>154574.42000000001</v>
      </c>
      <c r="AK16" s="34">
        <v>84801.48</v>
      </c>
      <c r="AL16" s="33">
        <v>3332.1600000000003</v>
      </c>
      <c r="AM16" s="32">
        <v>57312.371408435924</v>
      </c>
      <c r="AN16" s="32"/>
      <c r="AO16" s="34">
        <v>66142.559999999998</v>
      </c>
      <c r="AP16" s="32"/>
      <c r="AQ16" s="99">
        <v>14853.02</v>
      </c>
      <c r="AR16" s="99">
        <v>3023.07</v>
      </c>
      <c r="AS16" s="99">
        <v>11829.95</v>
      </c>
      <c r="AT16" s="100">
        <v>20531.959377285944</v>
      </c>
      <c r="AU16" s="101">
        <v>7326.49</v>
      </c>
      <c r="AV16" s="32">
        <v>189568.65042442214</v>
      </c>
      <c r="AW16" s="32"/>
      <c r="AX16" s="34">
        <f t="shared" si="1"/>
        <v>3.7108330871646227</v>
      </c>
      <c r="AY16" s="32">
        <f t="shared" si="5"/>
        <v>879704.73657373898</v>
      </c>
      <c r="AZ16" s="26">
        <f>17.03*B16*12</f>
        <v>869980.95600000001</v>
      </c>
      <c r="BA16" s="19" t="e">
        <f>(#REF!+#REF!+I16+#REF!+#REF!+#REF!+#REF!+AX16)*1.06+#REF!</f>
        <v>#REF!</v>
      </c>
      <c r="BB16" s="24"/>
      <c r="BC16" s="20"/>
      <c r="BD16" s="20"/>
      <c r="BE16" s="20"/>
    </row>
    <row r="17" spans="1:57">
      <c r="A17" s="1" t="s">
        <v>13</v>
      </c>
      <c r="B17" s="8">
        <v>2065.6999999999998</v>
      </c>
      <c r="C17" s="48">
        <v>8</v>
      </c>
      <c r="D17" s="34">
        <v>72440.330584826821</v>
      </c>
      <c r="E17" s="37">
        <v>44597.81854439999</v>
      </c>
      <c r="F17" s="37"/>
      <c r="G17" s="49">
        <f t="shared" si="3"/>
        <v>1</v>
      </c>
      <c r="H17" s="32">
        <v>36928.622460388935</v>
      </c>
      <c r="I17" s="34">
        <f t="shared" si="0"/>
        <v>1.4897541777762557</v>
      </c>
      <c r="J17" s="51"/>
      <c r="K17" s="32">
        <v>0</v>
      </c>
      <c r="L17" s="32"/>
      <c r="M17" s="32"/>
      <c r="N17" s="32"/>
      <c r="O17" s="32"/>
      <c r="P17" s="32"/>
      <c r="Q17" s="32"/>
      <c r="R17" s="32">
        <v>44</v>
      </c>
      <c r="S17" s="32">
        <v>8800</v>
      </c>
      <c r="T17" s="32"/>
      <c r="U17" s="32"/>
      <c r="V17" s="32"/>
      <c r="W17" s="32"/>
      <c r="X17" s="32"/>
      <c r="Y17" s="32"/>
      <c r="Z17" s="32"/>
      <c r="AA17" s="33"/>
      <c r="AB17" s="33">
        <v>0</v>
      </c>
      <c r="AC17" s="33"/>
      <c r="AD17" s="33">
        <v>0</v>
      </c>
      <c r="AE17" s="33"/>
      <c r="AF17" s="33">
        <v>0</v>
      </c>
      <c r="AG17" s="32"/>
      <c r="AH17" s="32"/>
      <c r="AI17" s="32"/>
      <c r="AJ17" s="98">
        <v>76108.210000000006</v>
      </c>
      <c r="AK17" s="34">
        <v>78446.399999999994</v>
      </c>
      <c r="AL17" s="33">
        <v>1385.28</v>
      </c>
      <c r="AM17" s="32">
        <v>33447.926958868273</v>
      </c>
      <c r="AN17" s="32"/>
      <c r="AO17" s="34">
        <v>11420.640000000001</v>
      </c>
      <c r="AP17" s="32">
        <v>200547.6</v>
      </c>
      <c r="AQ17" s="99">
        <v>11850.05</v>
      </c>
      <c r="AR17" s="99">
        <v>2287.75</v>
      </c>
      <c r="AS17" s="99">
        <v>9562.2999999999993</v>
      </c>
      <c r="AT17" s="100">
        <v>12999.12792259753</v>
      </c>
      <c r="AU17" s="101"/>
      <c r="AV17" s="32">
        <v>91985.614897871506</v>
      </c>
      <c r="AW17" s="32"/>
      <c r="AX17" s="34">
        <f t="shared" si="1"/>
        <v>3.7108330871646218</v>
      </c>
      <c r="AY17" s="32">
        <f t="shared" si="5"/>
        <v>669107.5713689531</v>
      </c>
      <c r="AZ17" s="26">
        <f>27.22*B17*12</f>
        <v>674740.24799999991</v>
      </c>
      <c r="BA17" s="19" t="e">
        <f>(#REF!+#REF!+I17+#REF!+#REF!+#REF!+#REF!+AX17)*1.06+#REF!</f>
        <v>#REF!</v>
      </c>
      <c r="BB17" s="24"/>
      <c r="BC17" s="20"/>
      <c r="BD17" s="20"/>
      <c r="BE17" s="20"/>
    </row>
    <row r="18" spans="1:57" ht="12.75" customHeight="1">
      <c r="A18" s="1" t="s">
        <v>14</v>
      </c>
      <c r="B18" s="8">
        <v>2061.3000000000002</v>
      </c>
      <c r="C18" s="48">
        <v>7</v>
      </c>
      <c r="D18" s="34">
        <v>72512.602096966439</v>
      </c>
      <c r="E18" s="37">
        <v>44472.647775600002</v>
      </c>
      <c r="F18" s="37"/>
      <c r="G18" s="49">
        <f t="shared" si="3"/>
        <v>1</v>
      </c>
      <c r="H18" s="32">
        <v>30291.200792757772</v>
      </c>
      <c r="I18" s="34">
        <f t="shared" si="0"/>
        <v>1.2245993949108882</v>
      </c>
      <c r="J18" s="51"/>
      <c r="K18" s="32">
        <v>0</v>
      </c>
      <c r="L18" s="32"/>
      <c r="M18" s="32"/>
      <c r="N18" s="32"/>
      <c r="O18" s="32"/>
      <c r="P18" s="32"/>
      <c r="Q18" s="32"/>
      <c r="R18" s="32">
        <v>29</v>
      </c>
      <c r="S18" s="32">
        <v>5800</v>
      </c>
      <c r="T18" s="32"/>
      <c r="U18" s="32"/>
      <c r="V18" s="32"/>
      <c r="W18" s="32"/>
      <c r="X18" s="32"/>
      <c r="Y18" s="32"/>
      <c r="Z18" s="32"/>
      <c r="AA18" s="33"/>
      <c r="AB18" s="33">
        <v>0</v>
      </c>
      <c r="AC18" s="33"/>
      <c r="AD18" s="33">
        <v>0</v>
      </c>
      <c r="AE18" s="33"/>
      <c r="AF18" s="33">
        <v>0</v>
      </c>
      <c r="AG18" s="32"/>
      <c r="AH18" s="32"/>
      <c r="AI18" s="32"/>
      <c r="AJ18" s="98">
        <v>75946.100000000006</v>
      </c>
      <c r="AK18" s="34">
        <v>78348.239999999991</v>
      </c>
      <c r="AL18" s="33">
        <v>1347.84</v>
      </c>
      <c r="AM18" s="32">
        <v>33352.069671789308</v>
      </c>
      <c r="AN18" s="32">
        <v>12500</v>
      </c>
      <c r="AO18" s="34">
        <v>11433.84</v>
      </c>
      <c r="AP18" s="32">
        <v>200441.28</v>
      </c>
      <c r="AQ18" s="99">
        <v>11247.11</v>
      </c>
      <c r="AR18" s="99">
        <v>2171.35</v>
      </c>
      <c r="AS18" s="99">
        <v>9075.76</v>
      </c>
      <c r="AT18" s="100">
        <v>12963.139179033602</v>
      </c>
      <c r="AU18" s="101">
        <v>4504.95</v>
      </c>
      <c r="AV18" s="32">
        <v>91789.682910869218</v>
      </c>
      <c r="AW18" s="32"/>
      <c r="AX18" s="34">
        <f t="shared" si="1"/>
        <v>3.7108330871646213</v>
      </c>
      <c r="AY18" s="32">
        <f t="shared" si="5"/>
        <v>675703.59242701624</v>
      </c>
      <c r="AZ18" s="26">
        <f t="shared" ref="AZ18:AZ19" si="6">27.22*B18*12</f>
        <v>673303.03200000001</v>
      </c>
      <c r="BA18" s="19" t="e">
        <f>(#REF!+#REF!+I18+#REF!+#REF!+#REF!+#REF!+AX18)*1.06+#REF!</f>
        <v>#REF!</v>
      </c>
      <c r="BB18" s="24"/>
      <c r="BC18" s="20"/>
      <c r="BD18" s="20"/>
      <c r="BE18" s="20"/>
    </row>
    <row r="19" spans="1:57" ht="12.75" customHeight="1">
      <c r="A19" s="1" t="s">
        <v>17</v>
      </c>
      <c r="B19" s="8">
        <v>2076.6999999999998</v>
      </c>
      <c r="C19" s="48">
        <v>8</v>
      </c>
      <c r="D19" s="34">
        <v>74984.901804477835</v>
      </c>
      <c r="E19" s="37">
        <v>44836.167578399996</v>
      </c>
      <c r="F19" s="37"/>
      <c r="G19" s="49">
        <f t="shared" si="3"/>
        <v>1</v>
      </c>
      <c r="H19" s="32">
        <v>37022.176629466871</v>
      </c>
      <c r="I19" s="34">
        <f t="shared" si="0"/>
        <v>1.4856172705681638</v>
      </c>
      <c r="J19" s="51"/>
      <c r="K19" s="32">
        <v>0</v>
      </c>
      <c r="L19" s="32"/>
      <c r="M19" s="32"/>
      <c r="N19" s="32"/>
      <c r="O19" s="32"/>
      <c r="P19" s="32"/>
      <c r="Q19" s="32"/>
      <c r="R19" s="32">
        <v>44</v>
      </c>
      <c r="S19" s="32">
        <v>8800</v>
      </c>
      <c r="T19" s="32"/>
      <c r="U19" s="32"/>
      <c r="V19" s="32"/>
      <c r="W19" s="32"/>
      <c r="X19" s="32"/>
      <c r="Y19" s="32"/>
      <c r="Z19" s="32"/>
      <c r="AA19" s="33"/>
      <c r="AB19" s="33">
        <v>0</v>
      </c>
      <c r="AC19" s="33"/>
      <c r="AD19" s="33">
        <v>0</v>
      </c>
      <c r="AE19" s="33"/>
      <c r="AF19" s="33">
        <v>0</v>
      </c>
      <c r="AG19" s="32"/>
      <c r="AH19" s="32"/>
      <c r="AI19" s="32"/>
      <c r="AJ19" s="98">
        <v>76513.490000000005</v>
      </c>
      <c r="AK19" s="34">
        <v>78691.92</v>
      </c>
      <c r="AL19" s="33">
        <v>1347.84</v>
      </c>
      <c r="AM19" s="32">
        <v>33629.81767656569</v>
      </c>
      <c r="AN19" s="32"/>
      <c r="AO19" s="34">
        <v>11344.08</v>
      </c>
      <c r="AP19" s="32">
        <v>201606.36</v>
      </c>
      <c r="AQ19" s="99">
        <v>11829.509999999998</v>
      </c>
      <c r="AR19" s="99">
        <v>2283.79</v>
      </c>
      <c r="AS19" s="99">
        <v>9545.7199999999993</v>
      </c>
      <c r="AT19" s="100">
        <v>13069.626809832131</v>
      </c>
      <c r="AU19" s="101">
        <v>2000</v>
      </c>
      <c r="AV19" s="32">
        <v>92475.444865377227</v>
      </c>
      <c r="AW19" s="32"/>
      <c r="AX19" s="34">
        <f t="shared" si="1"/>
        <v>3.7108330871646213</v>
      </c>
      <c r="AY19" s="32">
        <f t="shared" si="5"/>
        <v>676321.82536411972</v>
      </c>
      <c r="AZ19" s="26">
        <f t="shared" si="6"/>
        <v>678333.28799999994</v>
      </c>
      <c r="BA19" s="19" t="e">
        <f>(#REF!+#REF!+I19+#REF!+#REF!+#REF!+#REF!+AX19)*1.06+#REF!</f>
        <v>#REF!</v>
      </c>
      <c r="BB19" s="24"/>
      <c r="BC19" s="20"/>
      <c r="BD19" s="20"/>
      <c r="BE19" s="20"/>
    </row>
    <row r="20" spans="1:57" ht="12.75" customHeight="1">
      <c r="A20" s="1" t="s">
        <v>15</v>
      </c>
      <c r="B20" s="8">
        <f>18029.8+520.5</f>
        <v>18550.3</v>
      </c>
      <c r="C20" s="48">
        <v>54</v>
      </c>
      <c r="D20" s="34">
        <v>751336.02035383321</v>
      </c>
      <c r="E20" s="37">
        <v>356537.84191740002</v>
      </c>
      <c r="F20" s="37"/>
      <c r="G20" s="49">
        <f t="shared" si="3"/>
        <v>3</v>
      </c>
      <c r="H20" s="32">
        <v>278903.2493227346</v>
      </c>
      <c r="I20" s="34">
        <f t="shared" si="0"/>
        <v>1.2529143703099799</v>
      </c>
      <c r="J20" s="51">
        <v>200</v>
      </c>
      <c r="K20" s="32">
        <v>42000</v>
      </c>
      <c r="L20" s="32"/>
      <c r="M20" s="32"/>
      <c r="N20" s="32"/>
      <c r="O20" s="32"/>
      <c r="P20" s="32"/>
      <c r="Q20" s="32"/>
      <c r="R20" s="32">
        <v>56</v>
      </c>
      <c r="S20" s="32">
        <v>11200</v>
      </c>
      <c r="T20" s="32"/>
      <c r="U20" s="32"/>
      <c r="V20" s="32"/>
      <c r="W20" s="32"/>
      <c r="X20" s="32"/>
      <c r="Y20" s="32"/>
      <c r="Z20" s="32"/>
      <c r="AA20" s="33"/>
      <c r="AB20" s="33">
        <v>0</v>
      </c>
      <c r="AC20" s="33"/>
      <c r="AD20" s="33">
        <v>0</v>
      </c>
      <c r="AE20" s="33">
        <v>2</v>
      </c>
      <c r="AF20" s="33">
        <v>13290</v>
      </c>
      <c r="AG20" s="32"/>
      <c r="AH20" s="32"/>
      <c r="AI20" s="32"/>
      <c r="AJ20" s="98">
        <f>664271.39</f>
        <v>664271.39</v>
      </c>
      <c r="AK20" s="34">
        <v>369522</v>
      </c>
      <c r="AL20" s="33">
        <v>13440.960000000001</v>
      </c>
      <c r="AM20" s="32">
        <v>241211.49834632914</v>
      </c>
      <c r="AN20" s="32">
        <v>12500</v>
      </c>
      <c r="AO20" s="34">
        <v>287744.16000000003</v>
      </c>
      <c r="AP20" s="32"/>
      <c r="AQ20" s="99">
        <v>72515.570000000007</v>
      </c>
      <c r="AR20" s="99">
        <v>14759.28</v>
      </c>
      <c r="AS20" s="99">
        <v>57756.29</v>
      </c>
      <c r="AT20" s="100">
        <v>89602.954915248556</v>
      </c>
      <c r="AU20" s="101">
        <v>12221.94</v>
      </c>
      <c r="AV20" s="32">
        <v>826044.80420195858</v>
      </c>
      <c r="AW20" s="32"/>
      <c r="AX20" s="34">
        <f t="shared" si="1"/>
        <v>3.7108330871646218</v>
      </c>
      <c r="AY20" s="32">
        <f t="shared" si="5"/>
        <v>3969826.8190575042</v>
      </c>
      <c r="AZ20" s="26">
        <f>17.03*B20*12</f>
        <v>3790939.3080000002</v>
      </c>
      <c r="BA20" s="19" t="e">
        <f>(#REF!+#REF!+I20+#REF!+#REF!+#REF!+#REF!+AX20)*1.06+#REF!</f>
        <v>#REF!</v>
      </c>
      <c r="BB20" s="24"/>
      <c r="BC20" s="20"/>
      <c r="BD20" s="20"/>
      <c r="BE20" s="20"/>
    </row>
    <row r="21" spans="1:57">
      <c r="A21" s="1" t="s">
        <v>18</v>
      </c>
      <c r="B21" s="8">
        <v>4248.3</v>
      </c>
      <c r="C21" s="48">
        <v>16</v>
      </c>
      <c r="D21" s="34">
        <v>185458.549494854</v>
      </c>
      <c r="E21" s="37">
        <v>81652.572401400015</v>
      </c>
      <c r="F21" s="37"/>
      <c r="G21" s="49">
        <f t="shared" si="3"/>
        <v>2</v>
      </c>
      <c r="H21" s="32">
        <v>66590.470590342418</v>
      </c>
      <c r="I21" s="34">
        <f t="shared" si="0"/>
        <v>1.3062179889670067</v>
      </c>
      <c r="J21" s="51"/>
      <c r="K21" s="32">
        <v>0</v>
      </c>
      <c r="L21" s="32"/>
      <c r="M21" s="32"/>
      <c r="N21" s="32"/>
      <c r="O21" s="32"/>
      <c r="P21" s="32"/>
      <c r="Q21" s="32"/>
      <c r="R21" s="32">
        <v>36</v>
      </c>
      <c r="S21" s="32">
        <v>7200</v>
      </c>
      <c r="T21" s="32"/>
      <c r="U21" s="32"/>
      <c r="V21" s="32"/>
      <c r="W21" s="32"/>
      <c r="X21" s="32"/>
      <c r="Y21" s="32"/>
      <c r="Z21" s="32"/>
      <c r="AA21" s="33"/>
      <c r="AB21" s="33">
        <v>0</v>
      </c>
      <c r="AC21" s="33"/>
      <c r="AD21" s="33">
        <v>0</v>
      </c>
      <c r="AE21" s="33">
        <v>2</v>
      </c>
      <c r="AF21" s="33">
        <v>13290</v>
      </c>
      <c r="AG21" s="32"/>
      <c r="AH21" s="32"/>
      <c r="AI21" s="32"/>
      <c r="AJ21" s="98">
        <v>156523.46</v>
      </c>
      <c r="AK21" s="100">
        <v>28033.319999999996</v>
      </c>
      <c r="AL21" s="33">
        <v>3407.0400000000004</v>
      </c>
      <c r="AM21" s="32">
        <v>67604.332999448161</v>
      </c>
      <c r="AN21" s="32"/>
      <c r="AO21" s="34">
        <v>66137.280000000013</v>
      </c>
      <c r="AP21" s="32"/>
      <c r="AQ21" s="99">
        <v>14917.08</v>
      </c>
      <c r="AR21" s="99">
        <v>3036.11</v>
      </c>
      <c r="AS21" s="99">
        <v>11880.97</v>
      </c>
      <c r="AT21" s="100">
        <v>19770.308874438611</v>
      </c>
      <c r="AU21" s="101">
        <v>4942.34</v>
      </c>
      <c r="AV21" s="32">
        <v>189176.78645041757</v>
      </c>
      <c r="AW21" s="32"/>
      <c r="AX21" s="34">
        <f t="shared" si="1"/>
        <v>3.7108330871646218</v>
      </c>
      <c r="AY21" s="32">
        <f t="shared" si="5"/>
        <v>889786.46081090078</v>
      </c>
      <c r="AZ21" s="26">
        <f>17.03*B21*12</f>
        <v>868182.58800000022</v>
      </c>
      <c r="BA21" s="19" t="e">
        <f>(#REF!+#REF!+I21+#REF!+#REF!+#REF!+#REF!+AX21)*1.06+#REF!</f>
        <v>#REF!</v>
      </c>
      <c r="BB21" s="24"/>
      <c r="BC21" s="20"/>
      <c r="BD21" s="20"/>
      <c r="BE21" s="20"/>
    </row>
    <row r="22" spans="1:57" ht="12.75" customHeight="1">
      <c r="A22" s="1" t="s">
        <v>19</v>
      </c>
      <c r="B22" s="8">
        <v>7041.4</v>
      </c>
      <c r="C22" s="48">
        <v>16</v>
      </c>
      <c r="D22" s="34">
        <v>280915.73509551224</v>
      </c>
      <c r="E22" s="37">
        <v>135336.11640120001</v>
      </c>
      <c r="F22" s="37"/>
      <c r="G22" s="49">
        <f t="shared" si="3"/>
        <v>3</v>
      </c>
      <c r="H22" s="32">
        <v>92654.475104120967</v>
      </c>
      <c r="I22" s="34">
        <f t="shared" si="0"/>
        <v>1.0965441898879125</v>
      </c>
      <c r="J22" s="51"/>
      <c r="K22" s="32">
        <v>0</v>
      </c>
      <c r="L22" s="32"/>
      <c r="M22" s="32"/>
      <c r="N22" s="32"/>
      <c r="O22" s="32"/>
      <c r="P22" s="32"/>
      <c r="Q22" s="32"/>
      <c r="R22" s="32">
        <v>57</v>
      </c>
      <c r="S22" s="32">
        <v>11400</v>
      </c>
      <c r="T22" s="32"/>
      <c r="U22" s="32"/>
      <c r="V22" s="32"/>
      <c r="W22" s="32"/>
      <c r="X22" s="32"/>
      <c r="Y22" s="32"/>
      <c r="Z22" s="32"/>
      <c r="AA22" s="33"/>
      <c r="AB22" s="33">
        <v>0</v>
      </c>
      <c r="AC22" s="33">
        <v>4</v>
      </c>
      <c r="AD22" s="33">
        <v>344</v>
      </c>
      <c r="AE22" s="33">
        <v>1</v>
      </c>
      <c r="AF22" s="33">
        <v>6645</v>
      </c>
      <c r="AG22" s="32"/>
      <c r="AH22" s="32"/>
      <c r="AI22" s="32"/>
      <c r="AJ22" s="98">
        <v>259431.85</v>
      </c>
      <c r="AK22" s="34">
        <v>140264.51999999999</v>
      </c>
      <c r="AL22" s="33">
        <v>5616</v>
      </c>
      <c r="AM22" s="32">
        <v>94850.146661121602</v>
      </c>
      <c r="AN22" s="32"/>
      <c r="AO22" s="34">
        <v>110251.68000000001</v>
      </c>
      <c r="AP22" s="32"/>
      <c r="AQ22" s="99">
        <v>25418.280000000002</v>
      </c>
      <c r="AR22" s="99">
        <v>5173.45</v>
      </c>
      <c r="AS22" s="99">
        <v>20244.830000000002</v>
      </c>
      <c r="AT22" s="100">
        <v>34267.897943793745</v>
      </c>
      <c r="AU22" s="101">
        <v>10524.37</v>
      </c>
      <c r="AV22" s="32">
        <v>313553.52119953162</v>
      </c>
      <c r="AW22" s="32"/>
      <c r="AX22" s="34">
        <f t="shared" si="1"/>
        <v>3.7108330871646218</v>
      </c>
      <c r="AY22" s="32">
        <f t="shared" si="5"/>
        <v>1496055.3124052803</v>
      </c>
      <c r="AZ22" s="26">
        <f>17.03*B22*12</f>
        <v>1438980.504</v>
      </c>
      <c r="BA22" s="19" t="e">
        <f>(#REF!+#REF!+I22+#REF!+#REF!+#REF!+#REF!+AX22)*1.06+#REF!</f>
        <v>#REF!</v>
      </c>
      <c r="BB22" s="24"/>
      <c r="BC22" s="20"/>
      <c r="BD22" s="20"/>
      <c r="BE22" s="20"/>
    </row>
    <row r="23" spans="1:57">
      <c r="A23" s="1" t="s">
        <v>20</v>
      </c>
      <c r="B23" s="8">
        <v>5646.8</v>
      </c>
      <c r="C23" s="48">
        <v>18</v>
      </c>
      <c r="D23" s="34">
        <v>221819.24001593833</v>
      </c>
      <c r="E23" s="37">
        <v>104585.21175024001</v>
      </c>
      <c r="F23" s="37"/>
      <c r="G23" s="49">
        <f t="shared" si="3"/>
        <v>3</v>
      </c>
      <c r="H23" s="32">
        <v>146012.50172447981</v>
      </c>
      <c r="I23" s="34">
        <f t="shared" si="0"/>
        <v>2.1547971376779738</v>
      </c>
      <c r="J23" s="51">
        <v>150</v>
      </c>
      <c r="K23" s="32">
        <v>31500</v>
      </c>
      <c r="L23" s="32"/>
      <c r="M23" s="32"/>
      <c r="N23" s="32"/>
      <c r="O23" s="32"/>
      <c r="P23" s="32"/>
      <c r="Q23" s="32"/>
      <c r="R23" s="32">
        <v>76</v>
      </c>
      <c r="S23" s="32">
        <v>15200</v>
      </c>
      <c r="T23" s="32"/>
      <c r="U23" s="32"/>
      <c r="V23" s="32"/>
      <c r="W23" s="32"/>
      <c r="X23" s="32"/>
      <c r="Y23" s="32"/>
      <c r="Z23" s="32"/>
      <c r="AA23" s="33"/>
      <c r="AB23" s="33">
        <v>0</v>
      </c>
      <c r="AC23" s="33">
        <v>8</v>
      </c>
      <c r="AD23" s="33">
        <v>688</v>
      </c>
      <c r="AE23" s="33"/>
      <c r="AF23" s="33">
        <v>0</v>
      </c>
      <c r="AG23" s="32"/>
      <c r="AH23" s="32"/>
      <c r="AI23" s="32"/>
      <c r="AJ23" s="98">
        <v>208049.51</v>
      </c>
      <c r="AK23" s="34">
        <v>42242.400000000001</v>
      </c>
      <c r="AL23" s="33">
        <v>4492.8</v>
      </c>
      <c r="AM23" s="32">
        <v>76033.806130289639</v>
      </c>
      <c r="AN23" s="32">
        <v>12500</v>
      </c>
      <c r="AO23" s="34">
        <v>88255.200000000012</v>
      </c>
      <c r="AP23" s="32"/>
      <c r="AQ23" s="99">
        <v>19897.439999999999</v>
      </c>
      <c r="AR23" s="99">
        <v>4049.78</v>
      </c>
      <c r="AS23" s="99">
        <v>15847.66</v>
      </c>
      <c r="AT23" s="100">
        <v>26348.144728578729</v>
      </c>
      <c r="AU23" s="101">
        <v>9400.18</v>
      </c>
      <c r="AV23" s="32">
        <v>251451.98731921424</v>
      </c>
      <c r="AW23" s="32"/>
      <c r="AX23" s="34">
        <f t="shared" si="1"/>
        <v>3.7108330871646218</v>
      </c>
      <c r="AY23" s="32">
        <f t="shared" si="5"/>
        <v>1238578.981668741</v>
      </c>
      <c r="AZ23" s="26">
        <f>17.03*B23*12</f>
        <v>1153980.0480000002</v>
      </c>
      <c r="BA23" s="19" t="e">
        <f>(#REF!+#REF!+I23+#REF!+#REF!+#REF!+#REF!+AX23)*1.06+#REF!</f>
        <v>#REF!</v>
      </c>
      <c r="BB23" s="24"/>
      <c r="BC23" s="20"/>
      <c r="BD23" s="20"/>
      <c r="BE23" s="20"/>
    </row>
    <row r="24" spans="1:57" ht="12.75" customHeight="1">
      <c r="A24" s="1" t="s">
        <v>16</v>
      </c>
      <c r="B24" s="8">
        <v>5225.2</v>
      </c>
      <c r="C24" s="48">
        <v>16</v>
      </c>
      <c r="D24" s="34">
        <v>237008.19426549698</v>
      </c>
      <c r="E24" s="37">
        <v>100430.49570840002</v>
      </c>
      <c r="F24" s="37"/>
      <c r="G24" s="49">
        <f t="shared" si="3"/>
        <v>2</v>
      </c>
      <c r="H24" s="32">
        <v>77974.53129690871</v>
      </c>
      <c r="I24" s="34">
        <f t="shared" si="0"/>
        <v>1.243565338757507</v>
      </c>
      <c r="J24" s="51"/>
      <c r="K24" s="32">
        <v>0</v>
      </c>
      <c r="L24" s="32"/>
      <c r="M24" s="32"/>
      <c r="N24" s="32"/>
      <c r="O24" s="32"/>
      <c r="P24" s="32"/>
      <c r="Q24" s="32"/>
      <c r="R24" s="32">
        <v>76</v>
      </c>
      <c r="S24" s="32">
        <v>15200</v>
      </c>
      <c r="T24" s="32"/>
      <c r="U24" s="32"/>
      <c r="V24" s="32"/>
      <c r="W24" s="32"/>
      <c r="X24" s="32"/>
      <c r="Y24" s="32"/>
      <c r="Z24" s="32"/>
      <c r="AA24" s="33"/>
      <c r="AB24" s="33">
        <v>0</v>
      </c>
      <c r="AC24" s="33">
        <v>1</v>
      </c>
      <c r="AD24" s="33">
        <v>86</v>
      </c>
      <c r="AE24" s="33"/>
      <c r="AF24" s="33">
        <v>0</v>
      </c>
      <c r="AG24" s="32"/>
      <c r="AH24" s="32"/>
      <c r="AI24" s="32"/>
      <c r="AJ24" s="98">
        <v>192516.16</v>
      </c>
      <c r="AK24" s="34">
        <v>104085.95999999999</v>
      </c>
      <c r="AL24" s="33">
        <v>4642.5600000000004</v>
      </c>
      <c r="AM24" s="32">
        <v>71939.461576173926</v>
      </c>
      <c r="AN24" s="32"/>
      <c r="AO24" s="34">
        <v>23522.400000000001</v>
      </c>
      <c r="AP24" s="32">
        <v>507242.76</v>
      </c>
      <c r="AQ24" s="99">
        <v>65351.74</v>
      </c>
      <c r="AR24" s="99">
        <v>12616.71</v>
      </c>
      <c r="AS24" s="99">
        <v>52735.03</v>
      </c>
      <c r="AT24" s="100">
        <v>34770.768361160328</v>
      </c>
      <c r="AU24" s="101">
        <v>35444.980000000003</v>
      </c>
      <c r="AV24" s="32">
        <v>232678.140564631</v>
      </c>
      <c r="AW24" s="32"/>
      <c r="AX24" s="34">
        <f t="shared" si="1"/>
        <v>3.7108330871646227</v>
      </c>
      <c r="AY24" s="32">
        <f t="shared" si="5"/>
        <v>1637542.4117727708</v>
      </c>
      <c r="AZ24" s="26">
        <f>25.12*B24*12</f>
        <v>1575084.2880000002</v>
      </c>
      <c r="BA24" s="19" t="e">
        <f>(#REF!+#REF!+I24+#REF!+#REF!+#REF!+#REF!+AX24)*1.06+#REF!</f>
        <v>#REF!</v>
      </c>
      <c r="BB24" s="24"/>
      <c r="BC24" s="20"/>
      <c r="BD24" s="20"/>
      <c r="BE24" s="20"/>
    </row>
    <row r="25" spans="1:57" ht="12.75" customHeight="1">
      <c r="A25" s="1" t="s">
        <v>21</v>
      </c>
      <c r="B25" s="8">
        <v>2094.9</v>
      </c>
      <c r="C25" s="48">
        <v>16</v>
      </c>
      <c r="D25" s="34">
        <v>91137.682549718622</v>
      </c>
      <c r="E25" s="37">
        <v>40264.010344800008</v>
      </c>
      <c r="F25" s="37"/>
      <c r="G25" s="49">
        <f t="shared" si="3"/>
        <v>0</v>
      </c>
      <c r="H25" s="32">
        <v>17816.966254668536</v>
      </c>
      <c r="I25" s="34">
        <f t="shared" si="0"/>
        <v>0.7087437051358273</v>
      </c>
      <c r="J25" s="51"/>
      <c r="K25" s="32">
        <v>0</v>
      </c>
      <c r="L25" s="32"/>
      <c r="M25" s="32"/>
      <c r="N25" s="32"/>
      <c r="O25" s="32"/>
      <c r="P25" s="32"/>
      <c r="Q25" s="32"/>
      <c r="R25" s="32"/>
      <c r="S25" s="32">
        <v>0</v>
      </c>
      <c r="T25" s="32"/>
      <c r="U25" s="32"/>
      <c r="V25" s="32"/>
      <c r="W25" s="32"/>
      <c r="X25" s="32"/>
      <c r="Y25" s="32"/>
      <c r="Z25" s="32"/>
      <c r="AA25" s="33"/>
      <c r="AB25" s="33">
        <v>0</v>
      </c>
      <c r="AC25" s="33"/>
      <c r="AD25" s="33">
        <v>0</v>
      </c>
      <c r="AE25" s="33"/>
      <c r="AF25" s="33">
        <v>0</v>
      </c>
      <c r="AG25" s="32"/>
      <c r="AH25" s="32"/>
      <c r="AI25" s="32"/>
      <c r="AJ25" s="98">
        <v>77184.039999999994</v>
      </c>
      <c r="AK25" s="34">
        <v>41730.36</v>
      </c>
      <c r="AL25" s="33">
        <v>1235.5200000000002</v>
      </c>
      <c r="AM25" s="32">
        <v>33868.894773119588</v>
      </c>
      <c r="AN25" s="32"/>
      <c r="AO25" s="34">
        <v>11431.2</v>
      </c>
      <c r="AP25" s="32">
        <v>203373.84</v>
      </c>
      <c r="AQ25" s="99">
        <v>10746.93</v>
      </c>
      <c r="AR25" s="99">
        <v>2074.79</v>
      </c>
      <c r="AS25" s="99">
        <v>8672.14</v>
      </c>
      <c r="AT25" s="100">
        <v>12735.441693270281</v>
      </c>
      <c r="AU25" s="101">
        <v>5608.77</v>
      </c>
      <c r="AV25" s="32">
        <v>93285.890811613994</v>
      </c>
      <c r="AW25" s="32"/>
      <c r="AX25" s="34">
        <f t="shared" si="1"/>
        <v>3.7108330871646213</v>
      </c>
      <c r="AY25" s="32">
        <f t="shared" si="5"/>
        <v>629672.61642719095</v>
      </c>
      <c r="AZ25" s="26">
        <f>25.12*B25*12</f>
        <v>631486.65600000008</v>
      </c>
      <c r="BA25" s="19" t="e">
        <f>(#REF!+#REF!+I25+#REF!+#REF!+#REF!+#REF!+AX25)*1.06+#REF!</f>
        <v>#REF!</v>
      </c>
      <c r="BB25" s="24"/>
      <c r="BC25" s="20"/>
      <c r="BD25" s="20"/>
      <c r="BE25" s="20"/>
    </row>
    <row r="26" spans="1:57" ht="12.75" customHeight="1">
      <c r="A26" s="1" t="s">
        <v>22</v>
      </c>
      <c r="B26" s="8">
        <f>1971.5+325</f>
        <v>2296.5</v>
      </c>
      <c r="C26" s="48">
        <v>12</v>
      </c>
      <c r="D26" s="34">
        <v>85634.0612662317</v>
      </c>
      <c r="E26" s="37">
        <v>47106.217817999997</v>
      </c>
      <c r="F26" s="37"/>
      <c r="G26" s="49">
        <f t="shared" si="3"/>
        <v>0</v>
      </c>
      <c r="H26" s="32">
        <v>19531.559026133127</v>
      </c>
      <c r="I26" s="34">
        <f t="shared" si="0"/>
        <v>0.70874370513582718</v>
      </c>
      <c r="J26" s="51"/>
      <c r="K26" s="32">
        <v>0</v>
      </c>
      <c r="L26" s="32"/>
      <c r="M26" s="32"/>
      <c r="N26" s="32"/>
      <c r="O26" s="32"/>
      <c r="P26" s="32"/>
      <c r="Q26" s="32"/>
      <c r="R26" s="32"/>
      <c r="S26" s="32">
        <v>0</v>
      </c>
      <c r="T26" s="32"/>
      <c r="U26" s="32"/>
      <c r="V26" s="32"/>
      <c r="W26" s="32"/>
      <c r="X26" s="32"/>
      <c r="Y26" s="32"/>
      <c r="Z26" s="32"/>
      <c r="AA26" s="33"/>
      <c r="AB26" s="33">
        <v>0</v>
      </c>
      <c r="AC26" s="33"/>
      <c r="AD26" s="33">
        <v>0</v>
      </c>
      <c r="AE26" s="33"/>
      <c r="AF26" s="33">
        <v>0</v>
      </c>
      <c r="AG26" s="32"/>
      <c r="AH26" s="32"/>
      <c r="AI26" s="32"/>
      <c r="AJ26" s="98">
        <v>72637.53</v>
      </c>
      <c r="AK26" s="34">
        <v>45746.28</v>
      </c>
      <c r="AL26" s="33">
        <v>5503.68</v>
      </c>
      <c r="AM26" s="32">
        <v>40942.333381101314</v>
      </c>
      <c r="AN26" s="32"/>
      <c r="AO26" s="34">
        <v>11370.48</v>
      </c>
      <c r="AP26" s="32">
        <v>191393.4</v>
      </c>
      <c r="AQ26" s="99">
        <v>11599.97</v>
      </c>
      <c r="AR26" s="99">
        <v>2239.4699999999998</v>
      </c>
      <c r="AS26" s="99">
        <v>9360.5</v>
      </c>
      <c r="AT26" s="100">
        <v>15618.007596169871</v>
      </c>
      <c r="AU26" s="101">
        <v>348.37</v>
      </c>
      <c r="AV26" s="32">
        <v>102263.13821608265</v>
      </c>
      <c r="AW26" s="32"/>
      <c r="AX26" s="34">
        <f t="shared" si="1"/>
        <v>3.7108330871646218</v>
      </c>
      <c r="AY26" s="32">
        <f t="shared" si="5"/>
        <v>638095.05730371852</v>
      </c>
      <c r="AZ26" s="26">
        <f t="shared" si="4"/>
        <v>692256.96</v>
      </c>
      <c r="BA26" s="19" t="e">
        <f>(#REF!+#REF!+I26+#REF!+#REF!+#REF!+#REF!+AX26)*1.06+#REF!</f>
        <v>#REF!</v>
      </c>
      <c r="BB26" s="24"/>
      <c r="BC26" s="20"/>
      <c r="BD26" s="20"/>
      <c r="BE26" s="20"/>
    </row>
    <row r="27" spans="1:57">
      <c r="A27" s="1" t="s">
        <v>23</v>
      </c>
      <c r="B27" s="8">
        <f>7039.1+95.2</f>
        <v>7134.3</v>
      </c>
      <c r="C27" s="48">
        <v>17</v>
      </c>
      <c r="D27" s="34">
        <v>291676.86366874672</v>
      </c>
      <c r="E27" s="37">
        <v>137212.09676460002</v>
      </c>
      <c r="F27" s="37">
        <v>70952.160000000003</v>
      </c>
      <c r="G27" s="49">
        <f t="shared" si="3"/>
        <v>2</v>
      </c>
      <c r="H27" s="32">
        <v>98445.182586606388</v>
      </c>
      <c r="I27" s="34">
        <f t="shared" si="0"/>
        <v>1.1499047160268747</v>
      </c>
      <c r="J27" s="51"/>
      <c r="K27" s="32">
        <v>0</v>
      </c>
      <c r="L27" s="32"/>
      <c r="M27" s="37"/>
      <c r="N27" s="37"/>
      <c r="O27" s="37"/>
      <c r="P27" s="37"/>
      <c r="Q27" s="37"/>
      <c r="R27" s="32">
        <v>36</v>
      </c>
      <c r="S27" s="32">
        <v>7200</v>
      </c>
      <c r="T27" s="32"/>
      <c r="U27" s="32"/>
      <c r="V27" s="32"/>
      <c r="W27" s="32"/>
      <c r="X27" s="32"/>
      <c r="Y27" s="32"/>
      <c r="Z27" s="32"/>
      <c r="AA27" s="33"/>
      <c r="AB27" s="33">
        <v>0</v>
      </c>
      <c r="AC27" s="33"/>
      <c r="AD27" s="33">
        <v>0</v>
      </c>
      <c r="AE27" s="33">
        <v>3</v>
      </c>
      <c r="AF27" s="33">
        <v>19935</v>
      </c>
      <c r="AG27" s="32"/>
      <c r="AH27" s="32"/>
      <c r="AI27" s="32"/>
      <c r="AJ27" s="98">
        <v>259354.48</v>
      </c>
      <c r="AK27" s="34">
        <v>140218.91999999998</v>
      </c>
      <c r="AL27" s="33">
        <v>5503.68</v>
      </c>
      <c r="AM27" s="32">
        <v>113515.7940244246</v>
      </c>
      <c r="AN27" s="32"/>
      <c r="AO27" s="34">
        <v>110212.08000000002</v>
      </c>
      <c r="AP27" s="32"/>
      <c r="AQ27" s="99">
        <v>25194.09</v>
      </c>
      <c r="AR27" s="99">
        <v>5127.82</v>
      </c>
      <c r="AS27" s="99">
        <v>20066.27</v>
      </c>
      <c r="AT27" s="100">
        <v>35657.944696315113</v>
      </c>
      <c r="AU27" s="101">
        <v>3629.41</v>
      </c>
      <c r="AV27" s="32">
        <v>317690.35792510275</v>
      </c>
      <c r="AW27" s="32"/>
      <c r="AX27" s="34">
        <f t="shared" si="1"/>
        <v>3.7108330871646218</v>
      </c>
      <c r="AY27" s="32">
        <f t="shared" si="5"/>
        <v>1540251.8096657956</v>
      </c>
      <c r="AZ27" s="26">
        <f>17.87*B27*12</f>
        <v>1529879.2920000001</v>
      </c>
      <c r="BA27" s="19" t="e">
        <f>(#REF!+#REF!+I27+#REF!+#REF!+#REF!+#REF!+AX27)*1.06+#REF!</f>
        <v>#REF!</v>
      </c>
      <c r="BB27" s="24"/>
      <c r="BC27" s="20"/>
      <c r="BD27" s="20"/>
      <c r="BE27" s="20"/>
    </row>
    <row r="28" spans="1:57" s="7" customFormat="1" ht="12.75" customHeight="1">
      <c r="A28" s="4" t="s">
        <v>26</v>
      </c>
      <c r="B28" s="8">
        <f>12406+191</f>
        <v>12597</v>
      </c>
      <c r="C28" s="48">
        <v>15</v>
      </c>
      <c r="D28" s="34">
        <v>452501.75392896065</v>
      </c>
      <c r="E28" s="37">
        <v>242115.07062599997</v>
      </c>
      <c r="F28" s="37"/>
      <c r="G28" s="49">
        <f t="shared" si="3"/>
        <v>4</v>
      </c>
      <c r="H28" s="32">
        <v>208157.33949976484</v>
      </c>
      <c r="I28" s="34">
        <f t="shared" si="0"/>
        <v>1.3770298450673761</v>
      </c>
      <c r="J28" s="51">
        <v>130</v>
      </c>
      <c r="K28" s="32">
        <v>27300</v>
      </c>
      <c r="L28" s="32"/>
      <c r="M28" s="32"/>
      <c r="N28" s="32"/>
      <c r="O28" s="32"/>
      <c r="P28" s="32"/>
      <c r="Q28" s="32"/>
      <c r="R28" s="32">
        <v>76</v>
      </c>
      <c r="S28" s="32">
        <v>15200</v>
      </c>
      <c r="T28" s="32"/>
      <c r="U28" s="32"/>
      <c r="V28" s="32"/>
      <c r="W28" s="32"/>
      <c r="X28" s="32"/>
      <c r="Y28" s="32"/>
      <c r="Z28" s="32"/>
      <c r="AA28" s="33"/>
      <c r="AB28" s="33">
        <v>0</v>
      </c>
      <c r="AC28" s="33">
        <v>8</v>
      </c>
      <c r="AD28" s="33">
        <v>688</v>
      </c>
      <c r="AE28" s="33">
        <v>2</v>
      </c>
      <c r="AF28" s="33">
        <v>13290</v>
      </c>
      <c r="AG28" s="32"/>
      <c r="AH28" s="32"/>
      <c r="AI28" s="32"/>
      <c r="AJ28" s="98">
        <f>457039.82</f>
        <v>457039.82</v>
      </c>
      <c r="AK28" s="34">
        <v>250932.24</v>
      </c>
      <c r="AL28" s="33">
        <v>9097.92</v>
      </c>
      <c r="AM28" s="32">
        <v>170097.71244879556</v>
      </c>
      <c r="AN28" s="32">
        <f>12500*3</f>
        <v>37500</v>
      </c>
      <c r="AO28" s="34">
        <v>197502.62400000001</v>
      </c>
      <c r="AP28" s="32"/>
      <c r="AQ28" s="99">
        <v>50828.56</v>
      </c>
      <c r="AR28" s="99">
        <v>10345.27</v>
      </c>
      <c r="AS28" s="99">
        <v>40483.29</v>
      </c>
      <c r="AT28" s="100">
        <v>61271.642099054341</v>
      </c>
      <c r="AU28" s="101">
        <v>9034.19</v>
      </c>
      <c r="AV28" s="32">
        <v>560944.37278815289</v>
      </c>
      <c r="AW28" s="32"/>
      <c r="AX28" s="34">
        <f t="shared" si="1"/>
        <v>3.7108330871646218</v>
      </c>
      <c r="AY28" s="32">
        <f t="shared" si="5"/>
        <v>2712672.6853907285</v>
      </c>
      <c r="AZ28" s="26">
        <f>17.03*B28*12</f>
        <v>2574322.92</v>
      </c>
      <c r="BA28" s="19" t="e">
        <f>(#REF!+#REF!+I28+#REF!+#REF!+#REF!+#REF!+AX28)*1.06+#REF!</f>
        <v>#REF!</v>
      </c>
      <c r="BB28" s="24"/>
      <c r="BC28" s="20"/>
      <c r="BD28" s="20"/>
      <c r="BE28" s="20"/>
    </row>
    <row r="29" spans="1:57">
      <c r="A29" s="1" t="s">
        <v>27</v>
      </c>
      <c r="B29" s="8">
        <f>2303.1+539.6</f>
        <v>2842.7</v>
      </c>
      <c r="C29" s="48">
        <v>8</v>
      </c>
      <c r="D29" s="34">
        <v>145955.58611012486</v>
      </c>
      <c r="E29" s="37">
        <v>66299.442224399987</v>
      </c>
      <c r="F29" s="37"/>
      <c r="G29" s="49">
        <f t="shared" si="3"/>
        <v>0</v>
      </c>
      <c r="H29" s="32">
        <v>24176.948767075392</v>
      </c>
      <c r="I29" s="34">
        <f t="shared" si="0"/>
        <v>0.70874370513582718</v>
      </c>
      <c r="J29" s="51"/>
      <c r="K29" s="32">
        <v>0</v>
      </c>
      <c r="L29" s="32"/>
      <c r="M29" s="32"/>
      <c r="N29" s="32"/>
      <c r="O29" s="32"/>
      <c r="P29" s="32"/>
      <c r="Q29" s="32"/>
      <c r="R29" s="32"/>
      <c r="S29" s="32">
        <v>0</v>
      </c>
      <c r="T29" s="32"/>
      <c r="U29" s="32"/>
      <c r="V29" s="32"/>
      <c r="W29" s="32"/>
      <c r="X29" s="32"/>
      <c r="Y29" s="32"/>
      <c r="Z29" s="32"/>
      <c r="AA29" s="33"/>
      <c r="AB29" s="33">
        <v>0</v>
      </c>
      <c r="AC29" s="33"/>
      <c r="AD29" s="33">
        <v>0</v>
      </c>
      <c r="AE29" s="33"/>
      <c r="AF29" s="33">
        <v>0</v>
      </c>
      <c r="AG29" s="32"/>
      <c r="AH29" s="32"/>
      <c r="AI29" s="32"/>
      <c r="AJ29" s="98">
        <v>84854.92</v>
      </c>
      <c r="AK29" s="34">
        <v>95789.040000000008</v>
      </c>
      <c r="AL29" s="33">
        <v>1535.04</v>
      </c>
      <c r="AM29" s="32">
        <v>84620.058927131162</v>
      </c>
      <c r="AN29" s="32"/>
      <c r="AO29" s="34">
        <v>12661.44</v>
      </c>
      <c r="AP29" s="32">
        <v>223601.28</v>
      </c>
      <c r="AQ29" s="99">
        <v>11922</v>
      </c>
      <c r="AR29" s="99">
        <v>2301.64</v>
      </c>
      <c r="AS29" s="99">
        <v>9620.36</v>
      </c>
      <c r="AT29" s="100">
        <v>15926.89770857742</v>
      </c>
      <c r="AU29" s="101">
        <v>3390.26</v>
      </c>
      <c r="AV29" s="32">
        <v>126585.42260259444</v>
      </c>
      <c r="AW29" s="32"/>
      <c r="AX29" s="34">
        <f t="shared" si="1"/>
        <v>3.7108330871646218</v>
      </c>
      <c r="AY29" s="32">
        <f t="shared" si="5"/>
        <v>885396.33633990341</v>
      </c>
      <c r="AZ29" s="26">
        <f>27.22*B29*12</f>
        <v>928539.52799999993</v>
      </c>
      <c r="BA29" s="19" t="e">
        <f>(#REF!+#REF!+I29+#REF!+#REF!+#REF!+#REF!+AX29)*1.06+#REF!</f>
        <v>#REF!</v>
      </c>
      <c r="BB29" s="24"/>
      <c r="BC29" s="20"/>
      <c r="BD29" s="20"/>
      <c r="BE29" s="20"/>
    </row>
    <row r="30" spans="1:57" s="7" customFormat="1" ht="12.75" customHeight="1">
      <c r="A30" s="4" t="s">
        <v>28</v>
      </c>
      <c r="B30" s="8">
        <v>2856.8</v>
      </c>
      <c r="C30" s="48">
        <v>17</v>
      </c>
      <c r="D30" s="34">
        <v>166097.87820900101</v>
      </c>
      <c r="E30" s="37">
        <v>54907.86169440001</v>
      </c>
      <c r="F30" s="37"/>
      <c r="G30" s="49">
        <f t="shared" si="3"/>
        <v>1</v>
      </c>
      <c r="H30" s="32">
        <v>32216.868201984376</v>
      </c>
      <c r="I30" s="34">
        <f t="shared" si="0"/>
        <v>0.93977142846262651</v>
      </c>
      <c r="J30" s="51"/>
      <c r="K30" s="32">
        <v>0</v>
      </c>
      <c r="L30" s="32"/>
      <c r="M30" s="32"/>
      <c r="N30" s="32"/>
      <c r="O30" s="32"/>
      <c r="P30" s="32"/>
      <c r="Q30" s="32"/>
      <c r="R30" s="32">
        <v>18</v>
      </c>
      <c r="S30" s="32">
        <v>3600</v>
      </c>
      <c r="T30" s="32"/>
      <c r="U30" s="32"/>
      <c r="V30" s="32"/>
      <c r="W30" s="32"/>
      <c r="X30" s="32"/>
      <c r="Y30" s="32"/>
      <c r="Z30" s="32"/>
      <c r="AA30" s="33"/>
      <c r="AB30" s="33">
        <v>0</v>
      </c>
      <c r="AC30" s="33"/>
      <c r="AD30" s="33">
        <v>0</v>
      </c>
      <c r="AE30" s="33"/>
      <c r="AF30" s="33">
        <v>0</v>
      </c>
      <c r="AG30" s="32"/>
      <c r="AH30" s="32"/>
      <c r="AI30" s="32"/>
      <c r="AJ30" s="98">
        <v>105255.34</v>
      </c>
      <c r="AK30" s="34">
        <v>56907.479999999996</v>
      </c>
      <c r="AL30" s="33">
        <v>2283.84</v>
      </c>
      <c r="AM30" s="32">
        <v>38453.972793690489</v>
      </c>
      <c r="AN30" s="32"/>
      <c r="AO30" s="34">
        <v>44177.760000000002</v>
      </c>
      <c r="AP30" s="32"/>
      <c r="AQ30" s="99">
        <v>10028.799999999999</v>
      </c>
      <c r="AR30" s="99">
        <v>2041.19</v>
      </c>
      <c r="AS30" s="99">
        <v>7987.61</v>
      </c>
      <c r="AT30" s="100">
        <v>13869.026593082934</v>
      </c>
      <c r="AU30" s="101">
        <v>3197.31</v>
      </c>
      <c r="AV30" s="32">
        <v>127213.29556094272</v>
      </c>
      <c r="AW30" s="32"/>
      <c r="AX30" s="34">
        <f t="shared" si="1"/>
        <v>3.7108330871646218</v>
      </c>
      <c r="AY30" s="32">
        <f t="shared" si="5"/>
        <v>648180.63305310148</v>
      </c>
      <c r="AZ30" s="26">
        <f>17.03*B30*12</f>
        <v>583815.64800000004</v>
      </c>
      <c r="BA30" s="19" t="e">
        <f>(#REF!+#REF!+I30+#REF!+#REF!+#REF!+#REF!+AX30)*1.06+#REF!</f>
        <v>#REF!</v>
      </c>
      <c r="BB30" s="24"/>
      <c r="BC30" s="20"/>
      <c r="BD30" s="20"/>
      <c r="BE30" s="20"/>
    </row>
    <row r="31" spans="1:57" ht="12.75" customHeight="1">
      <c r="A31" s="1" t="s">
        <v>29</v>
      </c>
      <c r="B31" s="8">
        <v>4283.1000000000004</v>
      </c>
      <c r="C31" s="48">
        <v>16</v>
      </c>
      <c r="D31" s="34">
        <v>194828.25553520449</v>
      </c>
      <c r="E31" s="37">
        <v>82320.622342200018</v>
      </c>
      <c r="F31" s="37">
        <v>43182.239999999998</v>
      </c>
      <c r="G31" s="49">
        <f t="shared" si="3"/>
        <v>3</v>
      </c>
      <c r="H31" s="32">
        <v>63175.041961607152</v>
      </c>
      <c r="I31" s="34">
        <f t="shared" si="0"/>
        <v>1.2291533772580441</v>
      </c>
      <c r="J31" s="51">
        <v>30</v>
      </c>
      <c r="K31" s="32">
        <v>6300</v>
      </c>
      <c r="L31" s="32"/>
      <c r="M31" s="32"/>
      <c r="N31" s="32"/>
      <c r="O31" s="32"/>
      <c r="P31" s="32"/>
      <c r="Q31" s="32"/>
      <c r="R31" s="32">
        <v>28</v>
      </c>
      <c r="S31" s="32">
        <v>5600</v>
      </c>
      <c r="T31" s="32"/>
      <c r="U31" s="32"/>
      <c r="V31" s="32"/>
      <c r="W31" s="32"/>
      <c r="X31" s="32"/>
      <c r="Y31" s="32"/>
      <c r="Z31" s="32"/>
      <c r="AA31" s="33"/>
      <c r="AB31" s="33">
        <v>0</v>
      </c>
      <c r="AC31" s="33">
        <v>6</v>
      </c>
      <c r="AD31" s="33">
        <v>516</v>
      </c>
      <c r="AE31" s="33"/>
      <c r="AF31" s="33">
        <v>0</v>
      </c>
      <c r="AG31" s="32"/>
      <c r="AH31" s="32"/>
      <c r="AI31" s="32"/>
      <c r="AJ31" s="98">
        <v>157805.63</v>
      </c>
      <c r="AK31" s="34">
        <v>85319.4</v>
      </c>
      <c r="AL31" s="33">
        <v>3369.6</v>
      </c>
      <c r="AM31" s="32">
        <v>68139.175997254541</v>
      </c>
      <c r="AN31" s="32"/>
      <c r="AO31" s="34">
        <v>66234.960000000006</v>
      </c>
      <c r="AP31" s="32"/>
      <c r="AQ31" s="99">
        <v>14869.03</v>
      </c>
      <c r="AR31" s="99">
        <v>3026.33</v>
      </c>
      <c r="AS31" s="99">
        <v>11842.7</v>
      </c>
      <c r="AT31" s="100">
        <v>21412.145912936772</v>
      </c>
      <c r="AU31" s="101">
        <v>9904.74</v>
      </c>
      <c r="AV31" s="32">
        <v>190726.43034761751</v>
      </c>
      <c r="AW31" s="32"/>
      <c r="AX31" s="34">
        <f t="shared" si="1"/>
        <v>3.7108330871646218</v>
      </c>
      <c r="AY31" s="32">
        <f t="shared" si="5"/>
        <v>955652.00209682039</v>
      </c>
      <c r="AZ31" s="26">
        <f>17.87*B31*12</f>
        <v>918467.96400000015</v>
      </c>
      <c r="BA31" s="19" t="e">
        <f>(#REF!+#REF!+I31+#REF!+#REF!+#REF!+#REF!+AX31)*1.06+#REF!</f>
        <v>#REF!</v>
      </c>
      <c r="BB31" s="24"/>
      <c r="BC31" s="20"/>
      <c r="BD31" s="20"/>
      <c r="BE31" s="20"/>
    </row>
    <row r="32" spans="1:57" s="7" customFormat="1" ht="12.75" customHeight="1">
      <c r="A32" s="4" t="s">
        <v>24</v>
      </c>
      <c r="B32" s="8">
        <v>8422.7000000000007</v>
      </c>
      <c r="C32" s="48">
        <v>15</v>
      </c>
      <c r="D32" s="34">
        <v>401306.32688677975</v>
      </c>
      <c r="E32" s="37">
        <v>161885.13012540006</v>
      </c>
      <c r="F32" s="37">
        <v>84897.12</v>
      </c>
      <c r="G32" s="49">
        <f t="shared" si="3"/>
        <v>1</v>
      </c>
      <c r="H32" s="32">
        <v>72580.427262970406</v>
      </c>
      <c r="I32" s="34">
        <f t="shared" si="0"/>
        <v>0.71810333249205927</v>
      </c>
      <c r="J32" s="51"/>
      <c r="K32" s="32">
        <v>0</v>
      </c>
      <c r="L32" s="32"/>
      <c r="M32" s="32"/>
      <c r="N32" s="32"/>
      <c r="O32" s="32"/>
      <c r="P32" s="32"/>
      <c r="Q32" s="32"/>
      <c r="R32" s="32"/>
      <c r="S32" s="32">
        <v>0</v>
      </c>
      <c r="T32" s="32"/>
      <c r="U32" s="32"/>
      <c r="V32" s="32"/>
      <c r="W32" s="32"/>
      <c r="X32" s="32"/>
      <c r="Y32" s="32"/>
      <c r="Z32" s="32"/>
      <c r="AA32" s="33"/>
      <c r="AB32" s="33">
        <v>0</v>
      </c>
      <c r="AC32" s="33">
        <v>10</v>
      </c>
      <c r="AD32" s="33">
        <v>860</v>
      </c>
      <c r="AE32" s="33"/>
      <c r="AF32" s="33">
        <v>0</v>
      </c>
      <c r="AG32" s="32"/>
      <c r="AH32" s="32"/>
      <c r="AI32" s="32"/>
      <c r="AJ32" s="98">
        <v>310239.43</v>
      </c>
      <c r="AK32" s="34">
        <v>141469.44</v>
      </c>
      <c r="AL32" s="33">
        <v>5241.5999999999995</v>
      </c>
      <c r="AM32" s="32">
        <v>134574.84654091098</v>
      </c>
      <c r="AN32" s="32"/>
      <c r="AO32" s="34">
        <v>133119.36000000002</v>
      </c>
      <c r="AP32" s="32"/>
      <c r="AQ32" s="99">
        <v>37709.78</v>
      </c>
      <c r="AR32" s="99">
        <v>7279</v>
      </c>
      <c r="AS32" s="99">
        <v>30430.78</v>
      </c>
      <c r="AT32" s="100">
        <v>41025.878019965399</v>
      </c>
      <c r="AU32" s="101">
        <v>5123.03</v>
      </c>
      <c r="AV32" s="32">
        <v>375062.80611913756</v>
      </c>
      <c r="AW32" s="32"/>
      <c r="AX32" s="34">
        <f t="shared" si="1"/>
        <v>3.7108330871646218</v>
      </c>
      <c r="AY32" s="32">
        <f t="shared" si="5"/>
        <v>1782488.2749551642</v>
      </c>
      <c r="AZ32" s="26">
        <f>17.87*B32*12</f>
        <v>1806163.7880000004</v>
      </c>
      <c r="BA32" s="19" t="e">
        <f>(#REF!+#REF!+I32+#REF!+#REF!+#REF!+#REF!+AX32)*1.06+#REF!</f>
        <v>#REF!</v>
      </c>
      <c r="BB32" s="24"/>
      <c r="BC32" s="20"/>
      <c r="BD32" s="20"/>
      <c r="BE32" s="20"/>
    </row>
    <row r="33" spans="1:57">
      <c r="A33" s="1" t="s">
        <v>25</v>
      </c>
      <c r="B33" s="8">
        <f>8336.5+1455.8</f>
        <v>9792.2999999999993</v>
      </c>
      <c r="C33" s="48">
        <v>9</v>
      </c>
      <c r="D33" s="34">
        <v>348283.74819896382</v>
      </c>
      <c r="E33" s="37">
        <v>188208.57395340002</v>
      </c>
      <c r="F33" s="37"/>
      <c r="G33" s="49">
        <f t="shared" si="3"/>
        <v>3</v>
      </c>
      <c r="H33" s="32">
        <v>129548.77180561873</v>
      </c>
      <c r="I33" s="34">
        <f t="shared" si="0"/>
        <v>1.1024714299808587</v>
      </c>
      <c r="J33" s="51">
        <v>60</v>
      </c>
      <c r="K33" s="32">
        <v>12600</v>
      </c>
      <c r="L33" s="32"/>
      <c r="M33" s="32"/>
      <c r="N33" s="32"/>
      <c r="O33" s="32"/>
      <c r="P33" s="32"/>
      <c r="Q33" s="32"/>
      <c r="R33" s="32">
        <v>40</v>
      </c>
      <c r="S33" s="32">
        <v>8000</v>
      </c>
      <c r="T33" s="32"/>
      <c r="U33" s="32"/>
      <c r="V33" s="32"/>
      <c r="W33" s="32"/>
      <c r="X33" s="32"/>
      <c r="Y33" s="32"/>
      <c r="Z33" s="32"/>
      <c r="AA33" s="33"/>
      <c r="AB33" s="33">
        <v>0</v>
      </c>
      <c r="AC33" s="33">
        <v>10</v>
      </c>
      <c r="AD33" s="33">
        <v>860</v>
      </c>
      <c r="AE33" s="33"/>
      <c r="AF33" s="33">
        <v>0</v>
      </c>
      <c r="AG33" s="32"/>
      <c r="AH33" s="32"/>
      <c r="AI33" s="32"/>
      <c r="AJ33" s="98">
        <f>307148.23</f>
        <v>307148.23</v>
      </c>
      <c r="AK33" s="34">
        <v>195062.63999999998</v>
      </c>
      <c r="AL33" s="33">
        <v>6626.88</v>
      </c>
      <c r="AM33" s="32">
        <v>154003.23271894551</v>
      </c>
      <c r="AN33" s="32"/>
      <c r="AO33" s="34">
        <v>154545.60000000001</v>
      </c>
      <c r="AP33" s="32"/>
      <c r="AQ33" s="99">
        <v>34638.370000000003</v>
      </c>
      <c r="AR33" s="99">
        <v>7050.04</v>
      </c>
      <c r="AS33" s="99">
        <v>27588.33</v>
      </c>
      <c r="AT33" s="100">
        <v>43263.125724085156</v>
      </c>
      <c r="AU33" s="101">
        <v>14570.37</v>
      </c>
      <c r="AV33" s="32">
        <v>436051.09007330553</v>
      </c>
      <c r="AW33" s="32"/>
      <c r="AX33" s="34">
        <f t="shared" si="1"/>
        <v>3.7108330871646227</v>
      </c>
      <c r="AY33" s="32">
        <f t="shared" si="5"/>
        <v>1998772.262474319</v>
      </c>
      <c r="AZ33" s="26">
        <f>17.03*B33*12</f>
        <v>2001154.4280000001</v>
      </c>
      <c r="BA33" s="19" t="e">
        <f>(#REF!+#REF!+I33+#REF!+#REF!+#REF!+#REF!+AX33)*1.06+#REF!</f>
        <v>#REF!</v>
      </c>
      <c r="BB33" s="24"/>
      <c r="BC33" s="20"/>
      <c r="BD33" s="20"/>
      <c r="BE33" s="20"/>
    </row>
    <row r="34" spans="1:57" s="7" customFormat="1" ht="12.75" customHeight="1">
      <c r="A34" s="4" t="s">
        <v>30</v>
      </c>
      <c r="B34" s="8">
        <f>12438.8+76.5</f>
        <v>12515.3</v>
      </c>
      <c r="C34" s="48">
        <v>17</v>
      </c>
      <c r="D34" s="34">
        <v>481538.24872200057</v>
      </c>
      <c r="E34" s="37">
        <v>231797.70854604</v>
      </c>
      <c r="F34" s="37"/>
      <c r="G34" s="49">
        <f t="shared" si="3"/>
        <v>4</v>
      </c>
      <c r="H34" s="32">
        <v>255334.03452865023</v>
      </c>
      <c r="I34" s="34">
        <f t="shared" si="0"/>
        <v>1.7001459182537257</v>
      </c>
      <c r="J34" s="51">
        <v>160</v>
      </c>
      <c r="K34" s="32">
        <v>33600</v>
      </c>
      <c r="L34" s="32">
        <v>2</v>
      </c>
      <c r="M34" s="32">
        <v>23000</v>
      </c>
      <c r="N34" s="32"/>
      <c r="O34" s="32"/>
      <c r="P34" s="32"/>
      <c r="Q34" s="32"/>
      <c r="R34" s="32">
        <v>76</v>
      </c>
      <c r="S34" s="32">
        <v>15200</v>
      </c>
      <c r="T34" s="32"/>
      <c r="U34" s="32"/>
      <c r="V34" s="32"/>
      <c r="W34" s="32"/>
      <c r="X34" s="32"/>
      <c r="Y34" s="32"/>
      <c r="Z34" s="32"/>
      <c r="AA34" s="33"/>
      <c r="AB34" s="33">
        <v>0</v>
      </c>
      <c r="AC34" s="33">
        <v>6</v>
      </c>
      <c r="AD34" s="33">
        <v>516</v>
      </c>
      <c r="AE34" s="33"/>
      <c r="AF34" s="33">
        <v>0</v>
      </c>
      <c r="AG34" s="32"/>
      <c r="AH34" s="32"/>
      <c r="AI34" s="32"/>
      <c r="AJ34" s="98">
        <v>458292.5</v>
      </c>
      <c r="AK34" s="34">
        <v>249137.40000000002</v>
      </c>
      <c r="AL34" s="33">
        <v>8873.2800000000007</v>
      </c>
      <c r="AM34" s="32">
        <v>167816.19924603557</v>
      </c>
      <c r="AN34" s="32"/>
      <c r="AO34" s="34">
        <v>191056.94400000002</v>
      </c>
      <c r="AP34" s="32"/>
      <c r="AQ34" s="99">
        <v>51373.039999999994</v>
      </c>
      <c r="AR34" s="99">
        <v>10456.09</v>
      </c>
      <c r="AS34" s="99">
        <v>40916.949999999997</v>
      </c>
      <c r="AT34" s="100">
        <v>61362.36680892326</v>
      </c>
      <c r="AU34" s="101">
        <v>6466.49</v>
      </c>
      <c r="AV34" s="32">
        <v>557306.27202949673</v>
      </c>
      <c r="AW34" s="32"/>
      <c r="AX34" s="34">
        <f t="shared" si="1"/>
        <v>3.7108330871646227</v>
      </c>
      <c r="AY34" s="32">
        <f t="shared" si="5"/>
        <v>2741297.4438811466</v>
      </c>
      <c r="AZ34" s="26">
        <f>17.03*B34*12</f>
        <v>2557626.7080000001</v>
      </c>
      <c r="BA34" s="19" t="e">
        <f>(#REF!+#REF!+I34+#REF!+#REF!+#REF!+#REF!+AX34)*1.06+#REF!</f>
        <v>#REF!</v>
      </c>
      <c r="BB34" s="24"/>
      <c r="BC34" s="20"/>
      <c r="BD34" s="20"/>
      <c r="BE34" s="20"/>
    </row>
    <row r="35" spans="1:57">
      <c r="A35" s="1" t="s">
        <v>31</v>
      </c>
      <c r="B35" s="8">
        <v>4262</v>
      </c>
      <c r="C35" s="48">
        <v>9</v>
      </c>
      <c r="D35" s="34">
        <v>150343.4572866011</v>
      </c>
      <c r="E35" s="37">
        <v>81915.887196000011</v>
      </c>
      <c r="F35" s="37"/>
      <c r="G35" s="49">
        <f t="shared" si="3"/>
        <v>2</v>
      </c>
      <c r="H35" s="32">
        <v>57935.588055466746</v>
      </c>
      <c r="I35" s="34">
        <f t="shared" si="0"/>
        <v>1.1327934470410359</v>
      </c>
      <c r="J35" s="51"/>
      <c r="K35" s="32">
        <v>0</v>
      </c>
      <c r="L35" s="32"/>
      <c r="M35" s="32"/>
      <c r="N35" s="32"/>
      <c r="O35" s="32"/>
      <c r="P35" s="32"/>
      <c r="Q35" s="32"/>
      <c r="R35" s="32">
        <v>48</v>
      </c>
      <c r="S35" s="32">
        <v>9600</v>
      </c>
      <c r="T35" s="32"/>
      <c r="U35" s="32"/>
      <c r="V35" s="32"/>
      <c r="W35" s="32"/>
      <c r="X35" s="32"/>
      <c r="Y35" s="32"/>
      <c r="Z35" s="32"/>
      <c r="AA35" s="33"/>
      <c r="AB35" s="33">
        <v>0</v>
      </c>
      <c r="AC35" s="33">
        <v>6</v>
      </c>
      <c r="AD35" s="33">
        <v>516</v>
      </c>
      <c r="AE35" s="33"/>
      <c r="AF35" s="33">
        <v>0</v>
      </c>
      <c r="AG35" s="32"/>
      <c r="AH35" s="32"/>
      <c r="AI35" s="32"/>
      <c r="AJ35" s="98">
        <v>157028.23000000001</v>
      </c>
      <c r="AK35" s="34">
        <v>84899.040000000008</v>
      </c>
      <c r="AL35" s="33">
        <v>3369.6</v>
      </c>
      <c r="AM35" s="32">
        <v>67814.205984216766</v>
      </c>
      <c r="AN35" s="32"/>
      <c r="AO35" s="34">
        <v>66118.8</v>
      </c>
      <c r="AP35" s="32"/>
      <c r="AQ35" s="99">
        <v>14921.08</v>
      </c>
      <c r="AR35" s="99">
        <v>3036.93</v>
      </c>
      <c r="AS35" s="99">
        <v>11884.15</v>
      </c>
      <c r="AT35" s="100">
        <v>20730.459880133283</v>
      </c>
      <c r="AU35" s="101">
        <v>1402.39</v>
      </c>
      <c r="AV35" s="32">
        <v>189786.8474099474</v>
      </c>
      <c r="AW35" s="32"/>
      <c r="AX35" s="34">
        <f t="shared" si="1"/>
        <v>3.7108330871646213</v>
      </c>
      <c r="AY35" s="32">
        <f t="shared" si="5"/>
        <v>891460.50581236545</v>
      </c>
      <c r="AZ35" s="26">
        <f>17.03*B35*12</f>
        <v>870982.32000000007</v>
      </c>
      <c r="BA35" s="19" t="e">
        <f>(#REF!+#REF!+I35+#REF!+#REF!+#REF!+#REF!+AX35)*1.06+#REF!</f>
        <v>#REF!</v>
      </c>
      <c r="BB35" s="24"/>
      <c r="BC35" s="20"/>
      <c r="BD35" s="20"/>
      <c r="BE35" s="20"/>
    </row>
    <row r="36" spans="1:57">
      <c r="A36" s="1" t="s">
        <v>32</v>
      </c>
      <c r="B36" s="8">
        <f>2313.5+496.5</f>
        <v>2810</v>
      </c>
      <c r="C36" s="48">
        <v>8</v>
      </c>
      <c r="D36" s="34">
        <v>99030.584292667569</v>
      </c>
      <c r="E36" s="37">
        <v>61998.410825999999</v>
      </c>
      <c r="F36" s="37"/>
      <c r="G36" s="49">
        <f t="shared" si="3"/>
        <v>0</v>
      </c>
      <c r="H36" s="32">
        <v>23898.837737180096</v>
      </c>
      <c r="I36" s="34">
        <f t="shared" si="0"/>
        <v>0.7087437051358273</v>
      </c>
      <c r="J36" s="51"/>
      <c r="K36" s="32">
        <v>0</v>
      </c>
      <c r="L36" s="32"/>
      <c r="M36" s="32"/>
      <c r="N36" s="32"/>
      <c r="O36" s="32"/>
      <c r="P36" s="32"/>
      <c r="Q36" s="32"/>
      <c r="R36" s="32"/>
      <c r="S36" s="32">
        <v>0</v>
      </c>
      <c r="T36" s="35"/>
      <c r="U36" s="35"/>
      <c r="V36" s="35"/>
      <c r="W36" s="35"/>
      <c r="X36" s="35"/>
      <c r="Y36" s="35"/>
      <c r="Z36" s="35"/>
      <c r="AA36" s="36"/>
      <c r="AB36" s="33">
        <v>0</v>
      </c>
      <c r="AC36" s="36"/>
      <c r="AD36" s="33">
        <v>0</v>
      </c>
      <c r="AE36" s="36"/>
      <c r="AF36" s="33">
        <v>0</v>
      </c>
      <c r="AG36" s="32"/>
      <c r="AH36" s="32"/>
      <c r="AI36" s="32"/>
      <c r="AJ36" s="98">
        <v>86501.84</v>
      </c>
      <c r="AK36" s="34">
        <v>55975.200000000004</v>
      </c>
      <c r="AL36" s="33">
        <v>1572.48</v>
      </c>
      <c r="AM36" s="32">
        <v>45114.446248157925</v>
      </c>
      <c r="AN36" s="32"/>
      <c r="AO36" s="34">
        <v>12661.44</v>
      </c>
      <c r="AP36" s="32">
        <v>224594.28</v>
      </c>
      <c r="AQ36" s="99">
        <v>12045.329999999998</v>
      </c>
      <c r="AR36" s="99">
        <v>2325.4499999999998</v>
      </c>
      <c r="AS36" s="99">
        <v>9719.8799999999992</v>
      </c>
      <c r="AT36" s="100">
        <v>15484.049646766889</v>
      </c>
      <c r="AU36" s="101">
        <v>2000</v>
      </c>
      <c r="AV36" s="32">
        <v>125129.29169919106</v>
      </c>
      <c r="AW36" s="32"/>
      <c r="AX36" s="34">
        <f t="shared" si="1"/>
        <v>3.7108330871646218</v>
      </c>
      <c r="AY36" s="32">
        <f t="shared" si="5"/>
        <v>753960.8604499636</v>
      </c>
      <c r="AZ36" s="26">
        <f>26.21*B36*12</f>
        <v>883801.20000000007</v>
      </c>
      <c r="BA36" s="19" t="e">
        <f>(#REF!+#REF!+I36+#REF!+#REF!+#REF!+#REF!+AX36)*1.06+#REF!</f>
        <v>#REF!</v>
      </c>
      <c r="BB36" s="24"/>
      <c r="BC36" s="20"/>
      <c r="BD36" s="20"/>
      <c r="BE36" s="20"/>
    </row>
    <row r="37" spans="1:57" ht="12.75" customHeight="1">
      <c r="A37" s="1" t="s">
        <v>61</v>
      </c>
      <c r="B37" s="8">
        <v>3335.39</v>
      </c>
      <c r="C37" s="48">
        <v>9</v>
      </c>
      <c r="D37" s="34">
        <v>116940.80348288985</v>
      </c>
      <c r="E37" s="37">
        <v>64106.38925262</v>
      </c>
      <c r="F37" s="37"/>
      <c r="G37" s="49">
        <f t="shared" si="3"/>
        <v>1</v>
      </c>
      <c r="H37" s="32">
        <v>45527.240000075843</v>
      </c>
      <c r="I37" s="34">
        <f t="shared" si="0"/>
        <v>1.1374791753507048</v>
      </c>
      <c r="J37" s="51"/>
      <c r="K37" s="32">
        <v>0</v>
      </c>
      <c r="L37" s="32"/>
      <c r="M37" s="32"/>
      <c r="N37" s="32"/>
      <c r="O37" s="32"/>
      <c r="P37" s="32"/>
      <c r="Q37" s="32"/>
      <c r="R37" s="32">
        <v>39</v>
      </c>
      <c r="S37" s="32">
        <v>7800</v>
      </c>
      <c r="T37" s="32"/>
      <c r="U37" s="32"/>
      <c r="V37" s="32"/>
      <c r="W37" s="32"/>
      <c r="X37" s="32"/>
      <c r="Y37" s="32"/>
      <c r="Z37" s="32"/>
      <c r="AA37" s="33"/>
      <c r="AB37" s="33">
        <v>0</v>
      </c>
      <c r="AC37" s="33"/>
      <c r="AD37" s="33">
        <v>0</v>
      </c>
      <c r="AE37" s="33"/>
      <c r="AF37" s="33">
        <v>0</v>
      </c>
      <c r="AG37" s="32"/>
      <c r="AH37" s="32"/>
      <c r="AI37" s="32"/>
      <c r="AJ37" s="98">
        <v>122888.78</v>
      </c>
      <c r="AK37" s="34">
        <v>66441</v>
      </c>
      <c r="AL37" s="33">
        <v>2283.84</v>
      </c>
      <c r="AM37" s="32">
        <v>44808.407407752486</v>
      </c>
      <c r="AN37" s="32"/>
      <c r="AO37" s="34">
        <v>45022.560000000005</v>
      </c>
      <c r="AP37" s="32"/>
      <c r="AQ37" s="99">
        <v>10561.949999999999</v>
      </c>
      <c r="AR37" s="99">
        <v>2038.74</v>
      </c>
      <c r="AS37" s="99">
        <v>8523.2099999999991</v>
      </c>
      <c r="AT37" s="100">
        <v>16115.050195765954</v>
      </c>
      <c r="AU37" s="101">
        <v>6400</v>
      </c>
      <c r="AV37" s="32">
        <v>148524.90684717611</v>
      </c>
      <c r="AW37" s="32"/>
      <c r="AX37" s="34">
        <f t="shared" si="1"/>
        <v>3.7108330871646227</v>
      </c>
      <c r="AY37" s="32">
        <f t="shared" si="5"/>
        <v>686858.9771862803</v>
      </c>
      <c r="AZ37" s="26">
        <f>17.03*B37*12</f>
        <v>681620.30040000007</v>
      </c>
      <c r="BA37" s="19" t="e">
        <f>(#REF!+#REF!+I37+#REF!+#REF!+#REF!+#REF!+AX37)*1.06+#REF!</f>
        <v>#REF!</v>
      </c>
      <c r="BB37" s="24"/>
      <c r="BC37" s="20"/>
      <c r="BD37" s="20"/>
      <c r="BE37" s="20"/>
    </row>
    <row r="38" spans="1:57">
      <c r="A38" s="1" t="s">
        <v>33</v>
      </c>
      <c r="B38" s="8">
        <v>3324.1</v>
      </c>
      <c r="C38" s="48">
        <v>8</v>
      </c>
      <c r="D38" s="34">
        <v>117252.31411290258</v>
      </c>
      <c r="E38" s="37">
        <v>63889.3654542</v>
      </c>
      <c r="F38" s="37">
        <v>33507.24</v>
      </c>
      <c r="G38" s="49">
        <f t="shared" si="3"/>
        <v>3</v>
      </c>
      <c r="H38" s="32">
        <v>56431.21940290404</v>
      </c>
      <c r="I38" s="34">
        <f t="shared" ref="I38:I69" si="7">H38/B38/12</f>
        <v>1.4146992018617581</v>
      </c>
      <c r="J38" s="51"/>
      <c r="K38" s="32">
        <v>0</v>
      </c>
      <c r="L38" s="32"/>
      <c r="M38" s="32"/>
      <c r="N38" s="32"/>
      <c r="O38" s="32"/>
      <c r="P38" s="32"/>
      <c r="Q38" s="32"/>
      <c r="R38" s="32">
        <v>64</v>
      </c>
      <c r="S38" s="32">
        <v>12800</v>
      </c>
      <c r="T38" s="32"/>
      <c r="U38" s="32"/>
      <c r="V38" s="32"/>
      <c r="W38" s="32"/>
      <c r="X38" s="32"/>
      <c r="Y38" s="32"/>
      <c r="Z38" s="32"/>
      <c r="AA38" s="33"/>
      <c r="AB38" s="33">
        <v>0</v>
      </c>
      <c r="AC38" s="33"/>
      <c r="AD38" s="33">
        <v>0</v>
      </c>
      <c r="AE38" s="33"/>
      <c r="AF38" s="33">
        <v>0</v>
      </c>
      <c r="AG38" s="32"/>
      <c r="AH38" s="32"/>
      <c r="AI38" s="32"/>
      <c r="AJ38" s="98">
        <v>122472.44</v>
      </c>
      <c r="AK38" s="34">
        <v>66216.12</v>
      </c>
      <c r="AL38" s="33">
        <v>2246.4</v>
      </c>
      <c r="AM38" s="32">
        <v>52744.559063452594</v>
      </c>
      <c r="AN38" s="32"/>
      <c r="AO38" s="34">
        <v>44980.32</v>
      </c>
      <c r="AP38" s="32"/>
      <c r="AQ38" s="99">
        <v>10502.85</v>
      </c>
      <c r="AR38" s="99">
        <v>2027.33</v>
      </c>
      <c r="AS38" s="99">
        <v>8475.52</v>
      </c>
      <c r="AT38" s="100">
        <v>16328.670733848689</v>
      </c>
      <c r="AU38" s="101">
        <v>3929.17</v>
      </c>
      <c r="AV38" s="32">
        <v>148022.16318052704</v>
      </c>
      <c r="AW38" s="32"/>
      <c r="AX38" s="34">
        <f t="shared" ref="AX38:AX65" si="8">AV38/B38/12</f>
        <v>3.7108330871646218</v>
      </c>
      <c r="AY38" s="32">
        <f t="shared" si="5"/>
        <v>707312.74194783496</v>
      </c>
      <c r="AZ38" s="26">
        <f>17.87*B38*12</f>
        <v>712820.00399999996</v>
      </c>
      <c r="BA38" s="19" t="e">
        <f>(#REF!+#REF!+I38+#REF!+#REF!+#REF!+#REF!+AX38)*1.06+#REF!</f>
        <v>#REF!</v>
      </c>
      <c r="BB38" s="24"/>
      <c r="BC38" s="20"/>
      <c r="BD38" s="20"/>
      <c r="BE38" s="20"/>
    </row>
    <row r="39" spans="1:57">
      <c r="A39" s="1" t="s">
        <v>34</v>
      </c>
      <c r="B39" s="8">
        <f>13387.8+1213.1</f>
        <v>14600.9</v>
      </c>
      <c r="C39" s="48">
        <v>11</v>
      </c>
      <c r="D39" s="34">
        <v>513914.0546365871</v>
      </c>
      <c r="E39" s="37">
        <v>280630.1448522</v>
      </c>
      <c r="F39" s="37"/>
      <c r="G39" s="49">
        <f t="shared" si="3"/>
        <v>2</v>
      </c>
      <c r="H39" s="32">
        <v>128436.55157181242</v>
      </c>
      <c r="I39" s="34">
        <f t="shared" si="7"/>
        <v>0.73304015261509237</v>
      </c>
      <c r="J39" s="51"/>
      <c r="K39" s="32">
        <v>0</v>
      </c>
      <c r="L39" s="32"/>
      <c r="M39" s="32"/>
      <c r="N39" s="32"/>
      <c r="O39" s="32"/>
      <c r="P39" s="32">
        <v>10</v>
      </c>
      <c r="Q39" s="32">
        <v>1720</v>
      </c>
      <c r="R39" s="32"/>
      <c r="S39" s="32">
        <v>0</v>
      </c>
      <c r="T39" s="32"/>
      <c r="U39" s="32"/>
      <c r="V39" s="32"/>
      <c r="W39" s="32"/>
      <c r="X39" s="32"/>
      <c r="Y39" s="32"/>
      <c r="Z39" s="32"/>
      <c r="AA39" s="33">
        <v>25</v>
      </c>
      <c r="AB39" s="33">
        <v>2150</v>
      </c>
      <c r="AC39" s="33"/>
      <c r="AD39" s="33">
        <v>0</v>
      </c>
      <c r="AE39" s="33"/>
      <c r="AF39" s="33">
        <v>0</v>
      </c>
      <c r="AG39" s="32"/>
      <c r="AH39" s="32"/>
      <c r="AI39" s="32"/>
      <c r="AJ39" s="98">
        <v>495478.95</v>
      </c>
      <c r="AK39" s="34">
        <v>292051.32</v>
      </c>
      <c r="AL39" s="33">
        <v>8910.7199999999993</v>
      </c>
      <c r="AM39" s="32">
        <v>233686.74254801747</v>
      </c>
      <c r="AN39" s="32"/>
      <c r="AO39" s="34">
        <v>232832.16000000003</v>
      </c>
      <c r="AP39" s="32"/>
      <c r="AQ39" s="99">
        <v>66677.05</v>
      </c>
      <c r="AR39" s="99">
        <v>12870.47</v>
      </c>
      <c r="AS39" s="99">
        <v>53806.58</v>
      </c>
      <c r="AT39" s="100">
        <v>69616.286897497135</v>
      </c>
      <c r="AU39" s="101">
        <f>2700+15461.51</f>
        <v>18161.510000000002</v>
      </c>
      <c r="AV39" s="32">
        <v>650178.03386858304</v>
      </c>
      <c r="AW39" s="32"/>
      <c r="AX39" s="34">
        <f t="shared" si="8"/>
        <v>3.7108330871646213</v>
      </c>
      <c r="AY39" s="32">
        <f t="shared" si="5"/>
        <v>2927766.4743746971</v>
      </c>
      <c r="AZ39" s="26">
        <f>17.03*B39*12</f>
        <v>2983839.9240000001</v>
      </c>
      <c r="BA39" s="19" t="e">
        <f>(#REF!+#REF!+I39+#REF!+#REF!+#REF!+#REF!+AX39)*1.06+#REF!</f>
        <v>#REF!</v>
      </c>
      <c r="BB39" s="24"/>
      <c r="BC39" s="20"/>
      <c r="BD39" s="20"/>
      <c r="BE39" s="20"/>
    </row>
    <row r="40" spans="1:57" ht="12.75" customHeight="1">
      <c r="A40" s="1" t="s">
        <v>35</v>
      </c>
      <c r="B40" s="8">
        <v>5598.4</v>
      </c>
      <c r="C40" s="48">
        <v>9</v>
      </c>
      <c r="D40" s="34">
        <v>198731.62000856586</v>
      </c>
      <c r="E40" s="37">
        <v>107601.5727072</v>
      </c>
      <c r="F40" s="37"/>
      <c r="G40" s="49">
        <f t="shared" si="3"/>
        <v>1</v>
      </c>
      <c r="H40" s="32">
        <v>68733.969105988988</v>
      </c>
      <c r="I40" s="34">
        <f t="shared" si="7"/>
        <v>1.0231192410032179</v>
      </c>
      <c r="J40" s="51"/>
      <c r="K40" s="32">
        <v>0</v>
      </c>
      <c r="L40" s="32"/>
      <c r="M40" s="32"/>
      <c r="N40" s="32"/>
      <c r="O40" s="32"/>
      <c r="P40" s="32"/>
      <c r="Q40" s="32"/>
      <c r="R40" s="32">
        <v>48</v>
      </c>
      <c r="S40" s="32">
        <v>9600</v>
      </c>
      <c r="T40" s="32"/>
      <c r="U40" s="32"/>
      <c r="V40" s="32"/>
      <c r="W40" s="32"/>
      <c r="X40" s="32"/>
      <c r="Y40" s="32"/>
      <c r="Z40" s="32"/>
      <c r="AA40" s="33"/>
      <c r="AB40" s="33">
        <v>0</v>
      </c>
      <c r="AC40" s="33"/>
      <c r="AD40" s="33">
        <v>0</v>
      </c>
      <c r="AE40" s="33"/>
      <c r="AF40" s="33">
        <v>0</v>
      </c>
      <c r="AG40" s="32"/>
      <c r="AH40" s="32"/>
      <c r="AI40" s="32"/>
      <c r="AJ40" s="98">
        <v>206266.26</v>
      </c>
      <c r="AK40" s="34">
        <v>111520.08</v>
      </c>
      <c r="AL40" s="33">
        <v>4268.16</v>
      </c>
      <c r="AM40" s="32">
        <v>89422.127359746402</v>
      </c>
      <c r="AN40" s="32"/>
      <c r="AO40" s="34">
        <v>88207.680000000008</v>
      </c>
      <c r="AP40" s="32"/>
      <c r="AQ40" s="99">
        <v>23808.870000000003</v>
      </c>
      <c r="AR40" s="99">
        <v>4845.88</v>
      </c>
      <c r="AS40" s="99">
        <v>18962.990000000002</v>
      </c>
      <c r="AT40" s="100">
        <v>27427.890295134821</v>
      </c>
      <c r="AU40" s="101">
        <v>147.12</v>
      </c>
      <c r="AV40" s="32">
        <v>249296.73546218901</v>
      </c>
      <c r="AW40" s="32"/>
      <c r="AX40" s="34">
        <f t="shared" si="8"/>
        <v>3.7108330871646218</v>
      </c>
      <c r="AY40" s="32">
        <f t="shared" si="5"/>
        <v>1161223.214938825</v>
      </c>
      <c r="AZ40" s="26">
        <f>17.03*B40*12</f>
        <v>1144089.024</v>
      </c>
      <c r="BA40" s="19" t="e">
        <f>(#REF!+#REF!+I40+#REF!+#REF!+#REF!+#REF!+AX40)*1.06+#REF!</f>
        <v>#REF!</v>
      </c>
      <c r="BB40" s="24"/>
      <c r="BC40" s="20"/>
      <c r="BD40" s="20"/>
      <c r="BE40" s="20"/>
    </row>
    <row r="41" spans="1:57">
      <c r="A41" s="2" t="s">
        <v>36</v>
      </c>
      <c r="B41" s="8">
        <f>4141.8+117.6</f>
        <v>4259.4000000000005</v>
      </c>
      <c r="C41" s="48">
        <v>9</v>
      </c>
      <c r="D41" s="34">
        <v>189068.42518013818</v>
      </c>
      <c r="E41" s="37">
        <v>81977.491450800022</v>
      </c>
      <c r="F41" s="37">
        <v>41748.400000000001</v>
      </c>
      <c r="G41" s="49">
        <f t="shared" si="3"/>
        <v>2</v>
      </c>
      <c r="H41" s="32">
        <v>49113.475251866519</v>
      </c>
      <c r="I41" s="34">
        <f t="shared" si="7"/>
        <v>0.96088406919336278</v>
      </c>
      <c r="J41" s="51"/>
      <c r="K41" s="32">
        <v>0</v>
      </c>
      <c r="L41" s="32"/>
      <c r="M41" s="32"/>
      <c r="N41" s="32"/>
      <c r="O41" s="32"/>
      <c r="P41" s="32"/>
      <c r="Q41" s="32"/>
      <c r="R41" s="32">
        <v>28</v>
      </c>
      <c r="S41" s="32">
        <v>5600</v>
      </c>
      <c r="T41" s="32"/>
      <c r="U41" s="32"/>
      <c r="V41" s="32"/>
      <c r="W41" s="32"/>
      <c r="X41" s="32"/>
      <c r="Y41" s="32"/>
      <c r="Z41" s="32"/>
      <c r="AA41" s="33"/>
      <c r="AB41" s="33">
        <v>0</v>
      </c>
      <c r="AC41" s="33">
        <v>6</v>
      </c>
      <c r="AD41" s="33">
        <v>516</v>
      </c>
      <c r="AE41" s="33"/>
      <c r="AF41" s="33">
        <v>0</v>
      </c>
      <c r="AG41" s="32"/>
      <c r="AH41" s="32"/>
      <c r="AI41" s="32"/>
      <c r="AJ41" s="98">
        <v>152562.75</v>
      </c>
      <c r="AK41" s="34">
        <v>84847.200000000012</v>
      </c>
      <c r="AL41" s="33">
        <v>3332.1600000000003</v>
      </c>
      <c r="AM41" s="32">
        <v>67558.032541851921</v>
      </c>
      <c r="AN41" s="32"/>
      <c r="AO41" s="34">
        <v>66161.040000000008</v>
      </c>
      <c r="AP41" s="32"/>
      <c r="AQ41" s="99">
        <v>14873.039999999999</v>
      </c>
      <c r="AR41" s="99">
        <v>3027.15</v>
      </c>
      <c r="AS41" s="99">
        <v>11845.89</v>
      </c>
      <c r="AT41" s="100">
        <v>22184.368137103032</v>
      </c>
      <c r="AU41" s="101">
        <v>1640</v>
      </c>
      <c r="AV41" s="32">
        <v>189671.06941762791</v>
      </c>
      <c r="AW41" s="32"/>
      <c r="AX41" s="34">
        <f t="shared" si="8"/>
        <v>3.7108330871646218</v>
      </c>
      <c r="AY41" s="32">
        <f t="shared" si="5"/>
        <v>914232.01197938749</v>
      </c>
      <c r="AZ41" s="26">
        <f>17.87*B41*12</f>
        <v>913385.73600000027</v>
      </c>
      <c r="BA41" s="19" t="e">
        <f>(#REF!+#REF!+I41+#REF!+#REF!+#REF!+#REF!+AX41)*1.06+#REF!</f>
        <v>#REF!</v>
      </c>
      <c r="BB41" s="24"/>
      <c r="BC41" s="20"/>
      <c r="BD41" s="20"/>
      <c r="BE41" s="20"/>
    </row>
    <row r="42" spans="1:57" s="7" customFormat="1">
      <c r="A42" s="4" t="s">
        <v>37</v>
      </c>
      <c r="B42" s="8">
        <f>7096.1+235.4</f>
        <v>7331.5</v>
      </c>
      <c r="C42" s="48">
        <v>9</v>
      </c>
      <c r="D42" s="34">
        <v>262301.98989739938</v>
      </c>
      <c r="E42" s="37">
        <v>140911.85522700002</v>
      </c>
      <c r="F42" s="37"/>
      <c r="G42" s="49">
        <f t="shared" si="3"/>
        <v>1</v>
      </c>
      <c r="H42" s="32">
        <v>83473.853690439806</v>
      </c>
      <c r="I42" s="34">
        <f t="shared" si="7"/>
        <v>0.94880372013957814</v>
      </c>
      <c r="J42" s="51"/>
      <c r="K42" s="32">
        <v>0</v>
      </c>
      <c r="L42" s="32"/>
      <c r="M42" s="32"/>
      <c r="N42" s="32"/>
      <c r="O42" s="32"/>
      <c r="P42" s="32"/>
      <c r="Q42" s="32"/>
      <c r="R42" s="32">
        <v>48</v>
      </c>
      <c r="S42" s="32">
        <v>9600</v>
      </c>
      <c r="T42" s="32"/>
      <c r="U42" s="32"/>
      <c r="V42" s="32"/>
      <c r="W42" s="32"/>
      <c r="X42" s="32"/>
      <c r="Y42" s="32"/>
      <c r="Z42" s="32"/>
      <c r="AA42" s="33"/>
      <c r="AB42" s="33">
        <v>0</v>
      </c>
      <c r="AC42" s="33"/>
      <c r="AD42" s="33">
        <v>0</v>
      </c>
      <c r="AE42" s="33"/>
      <c r="AF42" s="33">
        <v>0</v>
      </c>
      <c r="AG42" s="32"/>
      <c r="AH42" s="32"/>
      <c r="AI42" s="32"/>
      <c r="AJ42" s="98">
        <v>261439.83</v>
      </c>
      <c r="AK42" s="34">
        <v>146043.84</v>
      </c>
      <c r="AL42" s="33">
        <v>5690.88</v>
      </c>
      <c r="AM42" s="32">
        <v>108447.48216491756</v>
      </c>
      <c r="AN42" s="32"/>
      <c r="AO42" s="34">
        <v>111745.92000000001</v>
      </c>
      <c r="AP42" s="32"/>
      <c r="AQ42" s="99">
        <v>25274.18</v>
      </c>
      <c r="AR42" s="99">
        <v>5144.1400000000003</v>
      </c>
      <c r="AS42" s="99">
        <v>20130.04</v>
      </c>
      <c r="AT42" s="100">
        <v>35748.512804277379</v>
      </c>
      <c r="AU42" s="101">
        <v>8287.49</v>
      </c>
      <c r="AV42" s="32">
        <v>326471.67334256915</v>
      </c>
      <c r="AW42" s="32"/>
      <c r="AX42" s="34">
        <f t="shared" si="8"/>
        <v>3.7108330871646227</v>
      </c>
      <c r="AY42" s="32">
        <f t="shared" si="5"/>
        <v>1500163.3271266031</v>
      </c>
      <c r="AZ42" s="26">
        <f>17.03*B42*12</f>
        <v>1498265.34</v>
      </c>
      <c r="BA42" s="19" t="e">
        <f>(#REF!+#REF!+I42+#REF!+#REF!+#REF!+#REF!+AX42)*1.06+#REF!</f>
        <v>#REF!</v>
      </c>
      <c r="BB42" s="24"/>
      <c r="BC42" s="20"/>
      <c r="BD42" s="20"/>
      <c r="BE42" s="20"/>
    </row>
    <row r="43" spans="1:57" ht="12.75" customHeight="1">
      <c r="A43" s="2" t="s">
        <v>38</v>
      </c>
      <c r="B43" s="8">
        <f>13911.1+66.7</f>
        <v>13977.800000000001</v>
      </c>
      <c r="C43" s="48">
        <v>9</v>
      </c>
      <c r="D43" s="34">
        <v>579697.69859911466</v>
      </c>
      <c r="E43" s="37">
        <v>302451.48214380001</v>
      </c>
      <c r="F43" s="37">
        <v>140228.29999999999</v>
      </c>
      <c r="G43" s="49">
        <f t="shared" si="3"/>
        <v>1</v>
      </c>
      <c r="H43" s="32">
        <v>188854.70280154733</v>
      </c>
      <c r="I43" s="34">
        <f t="shared" si="7"/>
        <v>1.1259205239829546</v>
      </c>
      <c r="J43" s="51"/>
      <c r="K43" s="32">
        <v>0</v>
      </c>
      <c r="L43" s="32"/>
      <c r="M43" s="32"/>
      <c r="N43" s="32"/>
      <c r="O43" s="32"/>
      <c r="P43" s="32"/>
      <c r="Q43" s="32"/>
      <c r="R43" s="32">
        <v>93</v>
      </c>
      <c r="S43" s="32">
        <v>18600</v>
      </c>
      <c r="T43" s="32"/>
      <c r="U43" s="32"/>
      <c r="V43" s="32"/>
      <c r="W43" s="32"/>
      <c r="X43" s="32"/>
      <c r="Y43" s="32"/>
      <c r="Z43" s="32"/>
      <c r="AA43" s="33"/>
      <c r="AB43" s="33">
        <v>0</v>
      </c>
      <c r="AC43" s="33"/>
      <c r="AD43" s="33">
        <v>0</v>
      </c>
      <c r="AE43" s="33"/>
      <c r="AF43" s="33">
        <v>0</v>
      </c>
      <c r="AG43" s="32"/>
      <c r="AH43" s="32"/>
      <c r="AI43" s="32"/>
      <c r="AJ43" s="98">
        <v>514372.43</v>
      </c>
      <c r="AK43" s="100">
        <v>539476.08000000007</v>
      </c>
      <c r="AL43" s="33">
        <v>9472.32</v>
      </c>
      <c r="AM43" s="32">
        <v>356464.6268028121</v>
      </c>
      <c r="AN43" s="32"/>
      <c r="AO43" s="34">
        <v>79168.320000000007</v>
      </c>
      <c r="AP43" s="102">
        <v>1350518.12</v>
      </c>
      <c r="AQ43" s="99">
        <v>82104.2</v>
      </c>
      <c r="AR43" s="99">
        <v>15850.91</v>
      </c>
      <c r="AS43" s="99">
        <v>66253.289999999994</v>
      </c>
      <c r="AT43" s="100">
        <v>89690.5558403139</v>
      </c>
      <c r="AU43" s="101">
        <v>21213.99</v>
      </c>
      <c r="AV43" s="32">
        <v>622431.39270923589</v>
      </c>
      <c r="AW43" s="32"/>
      <c r="AX43" s="34">
        <f t="shared" si="8"/>
        <v>3.7108330871646218</v>
      </c>
      <c r="AY43" s="32">
        <f t="shared" si="5"/>
        <v>4672411.7188968239</v>
      </c>
      <c r="AZ43" s="26">
        <f>28.06*B43*12</f>
        <v>4706604.8160000006</v>
      </c>
      <c r="BA43" s="19" t="e">
        <f>(#REF!+#REF!+I43+#REF!+#REF!+#REF!+#REF!+AX43)*1.06+#REF!</f>
        <v>#REF!</v>
      </c>
      <c r="BB43" s="24"/>
      <c r="BC43" s="20"/>
      <c r="BD43" s="20"/>
      <c r="BE43" s="20"/>
    </row>
    <row r="44" spans="1:57" s="7" customFormat="1">
      <c r="A44" s="4" t="s">
        <v>39</v>
      </c>
      <c r="B44" s="8">
        <f>15867.8+16.4</f>
        <v>15884.199999999999</v>
      </c>
      <c r="C44" s="48">
        <v>8</v>
      </c>
      <c r="D44" s="34">
        <v>690935.27703593241</v>
      </c>
      <c r="E44" s="37">
        <v>343104.79102019989</v>
      </c>
      <c r="F44" s="37">
        <v>159947.19</v>
      </c>
      <c r="G44" s="49">
        <f t="shared" si="3"/>
        <v>2</v>
      </c>
      <c r="H44" s="32">
        <v>286081.45224858972</v>
      </c>
      <c r="I44" s="34">
        <f t="shared" si="7"/>
        <v>1.5008701112247271</v>
      </c>
      <c r="J44" s="51">
        <v>20</v>
      </c>
      <c r="K44" s="32">
        <v>4200</v>
      </c>
      <c r="L44" s="32"/>
      <c r="M44" s="32"/>
      <c r="N44" s="32"/>
      <c r="O44" s="32"/>
      <c r="P44" s="32"/>
      <c r="Q44" s="32"/>
      <c r="R44" s="32">
        <v>84</v>
      </c>
      <c r="S44" s="32">
        <v>16800</v>
      </c>
      <c r="T44" s="32"/>
      <c r="U44" s="32"/>
      <c r="V44" s="32"/>
      <c r="W44" s="32"/>
      <c r="X44" s="32"/>
      <c r="Y44" s="32"/>
      <c r="Z44" s="32"/>
      <c r="AA44" s="33"/>
      <c r="AB44" s="33">
        <v>0</v>
      </c>
      <c r="AC44" s="33"/>
      <c r="AD44" s="33">
        <v>0</v>
      </c>
      <c r="AE44" s="33"/>
      <c r="AF44" s="33">
        <v>0</v>
      </c>
      <c r="AG44" s="32"/>
      <c r="AH44" s="32"/>
      <c r="AI44" s="32">
        <v>55250</v>
      </c>
      <c r="AJ44" s="98">
        <v>584692.49</v>
      </c>
      <c r="AK44" s="34">
        <v>613293.24</v>
      </c>
      <c r="AL44" s="33">
        <v>10969.92</v>
      </c>
      <c r="AM44" s="32">
        <v>254333.97500448048</v>
      </c>
      <c r="AN44" s="32"/>
      <c r="AO44" s="34">
        <v>91811.280000000013</v>
      </c>
      <c r="AP44" s="102">
        <v>1540470.15</v>
      </c>
      <c r="AQ44" s="99">
        <v>86825.04</v>
      </c>
      <c r="AR44" s="99">
        <v>16762.310000000001</v>
      </c>
      <c r="AS44" s="99">
        <v>70062.73</v>
      </c>
      <c r="AT44" s="100">
        <v>99980.407866834561</v>
      </c>
      <c r="AU44" s="101">
        <v>25682.09</v>
      </c>
      <c r="AV44" s="32">
        <v>707323.37907768332</v>
      </c>
      <c r="AW44" s="32"/>
      <c r="AX44" s="34">
        <f t="shared" si="8"/>
        <v>3.7108330871646213</v>
      </c>
      <c r="AY44" s="32">
        <f t="shared" si="5"/>
        <v>5324928.4522537198</v>
      </c>
      <c r="AZ44" s="26">
        <f>28.06*B44*12</f>
        <v>5348527.8239999991</v>
      </c>
      <c r="BA44" s="19" t="e">
        <f>(#REF!+#REF!+I44+#REF!+#REF!+#REF!+#REF!+AX44)*1.06+#REF!</f>
        <v>#REF!</v>
      </c>
      <c r="BB44" s="24"/>
      <c r="BC44" s="20"/>
      <c r="BD44" s="20"/>
      <c r="BE44" s="20"/>
    </row>
    <row r="45" spans="1:57">
      <c r="A45" s="2" t="s">
        <v>40</v>
      </c>
      <c r="B45" s="8">
        <f>5646.5</f>
        <v>5646.5</v>
      </c>
      <c r="C45" s="48">
        <v>10</v>
      </c>
      <c r="D45" s="34">
        <v>241684.75997813072</v>
      </c>
      <c r="E45" s="37">
        <v>121856.47689599998</v>
      </c>
      <c r="F45" s="37"/>
      <c r="G45" s="49">
        <f t="shared" si="3"/>
        <v>2</v>
      </c>
      <c r="H45" s="32">
        <v>97132.555972593385</v>
      </c>
      <c r="I45" s="34">
        <f t="shared" si="7"/>
        <v>1.4335215911419077</v>
      </c>
      <c r="J45" s="51"/>
      <c r="K45" s="32">
        <v>0</v>
      </c>
      <c r="L45" s="32"/>
      <c r="M45" s="32"/>
      <c r="N45" s="32"/>
      <c r="O45" s="32"/>
      <c r="P45" s="32"/>
      <c r="Q45" s="32"/>
      <c r="R45" s="32">
        <v>95</v>
      </c>
      <c r="S45" s="32">
        <v>19000</v>
      </c>
      <c r="T45" s="32"/>
      <c r="U45" s="32"/>
      <c r="V45" s="32"/>
      <c r="W45" s="32"/>
      <c r="X45" s="32"/>
      <c r="Y45" s="32"/>
      <c r="Z45" s="32"/>
      <c r="AA45" s="33"/>
      <c r="AB45" s="33">
        <v>0</v>
      </c>
      <c r="AC45" s="33"/>
      <c r="AD45" s="33">
        <v>0</v>
      </c>
      <c r="AE45" s="33">
        <v>1</v>
      </c>
      <c r="AF45" s="33">
        <v>6645</v>
      </c>
      <c r="AG45" s="32"/>
      <c r="AH45" s="32"/>
      <c r="AI45" s="32"/>
      <c r="AJ45" s="98">
        <v>208115.81</v>
      </c>
      <c r="AK45" s="34">
        <v>223049.88</v>
      </c>
      <c r="AL45" s="33">
        <v>4080.96</v>
      </c>
      <c r="AM45" s="32">
        <v>77441.184652188924</v>
      </c>
      <c r="AN45" s="32"/>
      <c r="AO45" s="34">
        <v>33976.800000000003</v>
      </c>
      <c r="AP45" s="102">
        <v>548716.43999999994</v>
      </c>
      <c r="AQ45" s="99">
        <v>33302.81</v>
      </c>
      <c r="AR45" s="99">
        <v>6429.39</v>
      </c>
      <c r="AS45" s="99">
        <v>26873.42</v>
      </c>
      <c r="AT45" s="100">
        <v>35772.41237029359</v>
      </c>
      <c r="AU45" s="101">
        <v>17099.47</v>
      </c>
      <c r="AV45" s="32">
        <v>251438.62832010046</v>
      </c>
      <c r="AW45" s="32"/>
      <c r="AX45" s="34">
        <f t="shared" si="8"/>
        <v>3.7108330871646218</v>
      </c>
      <c r="AY45" s="32">
        <f t="shared" si="5"/>
        <v>1886010.3781893069</v>
      </c>
      <c r="AZ45" s="26">
        <f>27.22*B45*12</f>
        <v>1844372.7599999998</v>
      </c>
      <c r="BA45" s="19" t="e">
        <f>(#REF!+#REF!+I45+#REF!+#REF!+#REF!+#REF!+AX45)*1.06+#REF!</f>
        <v>#REF!</v>
      </c>
      <c r="BB45" s="24"/>
      <c r="BC45" s="20"/>
      <c r="BD45" s="20"/>
      <c r="BE45" s="20"/>
    </row>
    <row r="46" spans="1:57" ht="12.75" customHeight="1">
      <c r="A46" s="2" t="s">
        <v>41</v>
      </c>
      <c r="B46" s="8">
        <v>5615.2</v>
      </c>
      <c r="C46" s="48">
        <v>11</v>
      </c>
      <c r="D46" s="34">
        <v>236017.8011867496</v>
      </c>
      <c r="E46" s="37">
        <v>121213.52701919997</v>
      </c>
      <c r="F46" s="37">
        <v>56620.08</v>
      </c>
      <c r="G46" s="49">
        <f t="shared" si="3"/>
        <v>2</v>
      </c>
      <c r="H46" s="32">
        <v>165119.91580729789</v>
      </c>
      <c r="I46" s="34">
        <f t="shared" si="7"/>
        <v>2.4504902735328202</v>
      </c>
      <c r="J46" s="51"/>
      <c r="K46" s="32">
        <v>0</v>
      </c>
      <c r="L46" s="32">
        <v>2</v>
      </c>
      <c r="M46" s="32">
        <v>37000</v>
      </c>
      <c r="N46" s="32"/>
      <c r="O46" s="32"/>
      <c r="P46" s="32"/>
      <c r="Q46" s="32"/>
      <c r="R46" s="32">
        <v>24</v>
      </c>
      <c r="S46" s="32">
        <v>4800</v>
      </c>
      <c r="T46" s="32"/>
      <c r="U46" s="32"/>
      <c r="V46" s="32"/>
      <c r="W46" s="32"/>
      <c r="X46" s="32"/>
      <c r="Y46" s="32"/>
      <c r="Z46" s="32"/>
      <c r="AA46" s="33"/>
      <c r="AB46" s="33">
        <v>0</v>
      </c>
      <c r="AC46" s="33"/>
      <c r="AD46" s="33">
        <v>0</v>
      </c>
      <c r="AE46" s="33"/>
      <c r="AF46" s="33">
        <v>0</v>
      </c>
      <c r="AG46" s="32"/>
      <c r="AH46" s="32"/>
      <c r="AI46" s="32"/>
      <c r="AJ46" s="98">
        <v>206885.23</v>
      </c>
      <c r="AK46" s="34">
        <v>125330.88</v>
      </c>
      <c r="AL46" s="33">
        <v>4080.96</v>
      </c>
      <c r="AM46" s="32">
        <v>91033.033910411541</v>
      </c>
      <c r="AN46" s="32"/>
      <c r="AO46" s="34">
        <v>34119.360000000001</v>
      </c>
      <c r="AP46" s="102">
        <v>545310</v>
      </c>
      <c r="AQ46" s="99">
        <v>32275.4</v>
      </c>
      <c r="AR46" s="99">
        <v>6424.1</v>
      </c>
      <c r="AS46" s="99">
        <v>25851.3</v>
      </c>
      <c r="AT46" s="100">
        <v>36039.848760909212</v>
      </c>
      <c r="AU46" s="101">
        <v>13989.47</v>
      </c>
      <c r="AV46" s="32">
        <v>250044.83941256141</v>
      </c>
      <c r="AW46" s="32"/>
      <c r="AX46" s="34">
        <f t="shared" si="8"/>
        <v>3.7108330871646218</v>
      </c>
      <c r="AY46" s="32">
        <f t="shared" si="5"/>
        <v>1870984.8660971294</v>
      </c>
      <c r="AZ46" s="26">
        <f>28.06*B46*12</f>
        <v>1890750.1439999999</v>
      </c>
      <c r="BA46" s="19" t="e">
        <f>(#REF!+#REF!+I46+#REF!+#REF!+#REF!+#REF!+AX46)*1.06+#REF!</f>
        <v>#REF!</v>
      </c>
      <c r="BB46" s="24"/>
      <c r="BC46" s="20"/>
      <c r="BD46" s="20"/>
      <c r="BE46" s="20"/>
    </row>
    <row r="47" spans="1:57">
      <c r="A47" s="2" t="s">
        <v>42</v>
      </c>
      <c r="B47" s="8">
        <f>11898.5+180.9</f>
        <v>12079.4</v>
      </c>
      <c r="C47" s="48">
        <v>8</v>
      </c>
      <c r="D47" s="34">
        <v>518027.05109488941</v>
      </c>
      <c r="E47" s="37">
        <v>262443.33068580006</v>
      </c>
      <c r="F47" s="37"/>
      <c r="G47" s="49">
        <f t="shared" si="3"/>
        <v>1</v>
      </c>
      <c r="H47" s="32">
        <v>160933.36354941482</v>
      </c>
      <c r="I47" s="34">
        <f t="shared" si="7"/>
        <v>1.1102466702913971</v>
      </c>
      <c r="J47" s="51"/>
      <c r="K47" s="32">
        <v>0</v>
      </c>
      <c r="L47" s="32"/>
      <c r="M47" s="32"/>
      <c r="N47" s="32"/>
      <c r="O47" s="32"/>
      <c r="P47" s="32"/>
      <c r="Q47" s="32"/>
      <c r="R47" s="32">
        <v>76</v>
      </c>
      <c r="S47" s="32">
        <v>15200</v>
      </c>
      <c r="T47" s="32"/>
      <c r="U47" s="32"/>
      <c r="V47" s="32"/>
      <c r="W47" s="32"/>
      <c r="X47" s="32"/>
      <c r="Y47" s="32"/>
      <c r="Z47" s="32"/>
      <c r="AA47" s="33"/>
      <c r="AB47" s="33">
        <v>0</v>
      </c>
      <c r="AC47" s="33"/>
      <c r="AD47" s="33">
        <v>0</v>
      </c>
      <c r="AE47" s="33"/>
      <c r="AF47" s="33">
        <v>0</v>
      </c>
      <c r="AG47" s="32"/>
      <c r="AH47" s="32"/>
      <c r="AI47" s="32"/>
      <c r="AJ47" s="98">
        <v>438385.81</v>
      </c>
      <c r="AK47" s="34">
        <v>463652.16000000003</v>
      </c>
      <c r="AL47" s="33">
        <v>8386.56</v>
      </c>
      <c r="AM47" s="32">
        <v>195107.81557765085</v>
      </c>
      <c r="AN47" s="32"/>
      <c r="AO47" s="34">
        <v>68428.800000000003</v>
      </c>
      <c r="AP47" s="102">
        <v>1155149.18</v>
      </c>
      <c r="AQ47" s="99">
        <v>64974.89</v>
      </c>
      <c r="AR47" s="99">
        <v>12543.95</v>
      </c>
      <c r="AS47" s="99">
        <v>52430.94</v>
      </c>
      <c r="AT47" s="100">
        <v>75535.216212650615</v>
      </c>
      <c r="AU47" s="101">
        <v>44252.23</v>
      </c>
      <c r="AV47" s="32">
        <v>537895.64631715603</v>
      </c>
      <c r="AW47" s="32"/>
      <c r="AX47" s="34">
        <f t="shared" si="8"/>
        <v>3.7108330871646218</v>
      </c>
      <c r="AY47" s="32">
        <f t="shared" si="5"/>
        <v>3943397.1634375616</v>
      </c>
      <c r="AZ47" s="26">
        <f>27.22*B47*12</f>
        <v>3945615.216</v>
      </c>
      <c r="BA47" s="19" t="e">
        <f>(#REF!+#REF!+I47+#REF!+#REF!+#REF!+#REF!+AX47)*1.06+#REF!</f>
        <v>#REF!</v>
      </c>
      <c r="BB47" s="24"/>
      <c r="BC47" s="20"/>
      <c r="BD47" s="20"/>
      <c r="BE47" s="20"/>
    </row>
    <row r="48" spans="1:57" s="7" customFormat="1">
      <c r="A48" s="4" t="s">
        <v>43</v>
      </c>
      <c r="B48" s="8">
        <v>5657.2</v>
      </c>
      <c r="C48" s="48">
        <v>12</v>
      </c>
      <c r="D48" s="34">
        <v>215758.49780088221</v>
      </c>
      <c r="E48" s="37">
        <v>122123.29373639998</v>
      </c>
      <c r="F48" s="37"/>
      <c r="G48" s="49">
        <f t="shared" si="3"/>
        <v>1</v>
      </c>
      <c r="H48" s="32">
        <v>96514.058664332813</v>
      </c>
      <c r="I48" s="34">
        <f t="shared" si="7"/>
        <v>1.4216994665254428</v>
      </c>
      <c r="J48" s="51"/>
      <c r="K48" s="32">
        <v>0</v>
      </c>
      <c r="L48" s="32"/>
      <c r="M48" s="32"/>
      <c r="N48" s="32"/>
      <c r="O48" s="32"/>
      <c r="P48" s="32"/>
      <c r="Q48" s="32"/>
      <c r="R48" s="32">
        <v>110</v>
      </c>
      <c r="S48" s="32">
        <v>22000</v>
      </c>
      <c r="T48" s="32"/>
      <c r="U48" s="32"/>
      <c r="V48" s="32"/>
      <c r="W48" s="32"/>
      <c r="X48" s="32"/>
      <c r="Y48" s="32"/>
      <c r="Z48" s="32"/>
      <c r="AA48" s="33"/>
      <c r="AB48" s="33">
        <v>0</v>
      </c>
      <c r="AC48" s="33"/>
      <c r="AD48" s="33">
        <v>0</v>
      </c>
      <c r="AE48" s="33"/>
      <c r="AF48" s="33">
        <v>0</v>
      </c>
      <c r="AG48" s="32"/>
      <c r="AH48" s="32"/>
      <c r="AI48" s="32"/>
      <c r="AJ48" s="98">
        <v>208432.68</v>
      </c>
      <c r="AK48" s="34">
        <v>223288.68</v>
      </c>
      <c r="AL48" s="33">
        <v>4118.3999999999996</v>
      </c>
      <c r="AM48" s="32">
        <v>77464.615704447569</v>
      </c>
      <c r="AN48" s="32">
        <v>12500</v>
      </c>
      <c r="AO48" s="34">
        <v>33929.279999999999</v>
      </c>
      <c r="AP48" s="102">
        <v>549374.52</v>
      </c>
      <c r="AQ48" s="99">
        <v>33045.86</v>
      </c>
      <c r="AR48" s="99">
        <v>6379.78</v>
      </c>
      <c r="AS48" s="99">
        <v>26666.080000000002</v>
      </c>
      <c r="AT48" s="100">
        <v>35681.614523989061</v>
      </c>
      <c r="AU48" s="101">
        <v>8257.64</v>
      </c>
      <c r="AV48" s="32">
        <v>251915.09928849238</v>
      </c>
      <c r="AW48" s="32"/>
      <c r="AX48" s="34">
        <f t="shared" si="8"/>
        <v>3.7108330871646218</v>
      </c>
      <c r="AY48" s="32">
        <f t="shared" si="5"/>
        <v>1861358.3797185442</v>
      </c>
      <c r="AZ48" s="26">
        <f>27.22*B48*12</f>
        <v>1847867.808</v>
      </c>
      <c r="BA48" s="19" t="e">
        <f>(#REF!+#REF!+I48+#REF!+#REF!+#REF!+#REF!+AX48)*1.06+#REF!</f>
        <v>#REF!</v>
      </c>
      <c r="BB48" s="24"/>
      <c r="BC48" s="20"/>
      <c r="BD48" s="20"/>
      <c r="BE48" s="20"/>
    </row>
    <row r="49" spans="1:57" ht="12.75" customHeight="1">
      <c r="A49" s="2" t="s">
        <v>44</v>
      </c>
      <c r="B49" s="8">
        <v>2862.9</v>
      </c>
      <c r="C49" s="48">
        <v>14</v>
      </c>
      <c r="D49" s="34">
        <v>109800.73061262562</v>
      </c>
      <c r="E49" s="37">
        <v>55025.10404820001</v>
      </c>
      <c r="F49" s="37"/>
      <c r="G49" s="49">
        <f t="shared" si="3"/>
        <v>3</v>
      </c>
      <c r="H49" s="32">
        <v>34908.748241200323</v>
      </c>
      <c r="I49" s="34">
        <f t="shared" si="7"/>
        <v>1.0161243331703378</v>
      </c>
      <c r="J49" s="51"/>
      <c r="K49" s="32">
        <v>0</v>
      </c>
      <c r="L49" s="32"/>
      <c r="M49" s="32"/>
      <c r="N49" s="32"/>
      <c r="O49" s="32"/>
      <c r="P49" s="32"/>
      <c r="Q49" s="32"/>
      <c r="R49" s="32">
        <v>24</v>
      </c>
      <c r="S49" s="32">
        <v>4800</v>
      </c>
      <c r="T49" s="32"/>
      <c r="U49" s="32"/>
      <c r="V49" s="32"/>
      <c r="W49" s="32"/>
      <c r="X49" s="32"/>
      <c r="Y49" s="32"/>
      <c r="Z49" s="32"/>
      <c r="AA49" s="33"/>
      <c r="AB49" s="33">
        <v>0</v>
      </c>
      <c r="AC49" s="33"/>
      <c r="AD49" s="33">
        <v>0</v>
      </c>
      <c r="AE49" s="33"/>
      <c r="AF49" s="33">
        <v>0</v>
      </c>
      <c r="AG49" s="32"/>
      <c r="AH49" s="32"/>
      <c r="AI49" s="32"/>
      <c r="AJ49" s="98">
        <v>105480.09</v>
      </c>
      <c r="AK49" s="34">
        <v>42780.239999999991</v>
      </c>
      <c r="AL49" s="33">
        <v>2246.4</v>
      </c>
      <c r="AM49" s="32">
        <v>45560.222517811875</v>
      </c>
      <c r="AN49" s="32"/>
      <c r="AO49" s="34">
        <v>44272.800000000003</v>
      </c>
      <c r="AP49" s="32"/>
      <c r="AQ49" s="99">
        <v>10092.84</v>
      </c>
      <c r="AR49" s="99">
        <v>2054.2199999999998</v>
      </c>
      <c r="AS49" s="99">
        <v>8038.62</v>
      </c>
      <c r="AT49" s="100">
        <v>13913.103074516124</v>
      </c>
      <c r="AU49" s="101">
        <v>5474.99</v>
      </c>
      <c r="AV49" s="32">
        <v>127484.92854292315</v>
      </c>
      <c r="AW49" s="32"/>
      <c r="AX49" s="34">
        <f t="shared" si="8"/>
        <v>3.7108330871646218</v>
      </c>
      <c r="AY49" s="32">
        <f t="shared" si="5"/>
        <v>591747.35703727696</v>
      </c>
      <c r="AZ49" s="26">
        <f>17.03*B49*12</f>
        <v>585062.24400000006</v>
      </c>
      <c r="BA49" s="19" t="e">
        <f>(#REF!+#REF!+I49+#REF!+#REF!+#REF!+#REF!+AX49)*1.06+#REF!</f>
        <v>#REF!</v>
      </c>
      <c r="BB49" s="24"/>
      <c r="BC49" s="20"/>
      <c r="BD49" s="20"/>
      <c r="BE49" s="20"/>
    </row>
    <row r="50" spans="1:57">
      <c r="A50" s="4" t="s">
        <v>45</v>
      </c>
      <c r="B50" s="8">
        <f>3649.6+406.8</f>
        <v>4056.4</v>
      </c>
      <c r="C50" s="48">
        <v>7</v>
      </c>
      <c r="D50" s="34">
        <v>141626.73594476041</v>
      </c>
      <c r="E50" s="37">
        <v>91658.474780400007</v>
      </c>
      <c r="F50" s="37">
        <v>36807.480000000003</v>
      </c>
      <c r="G50" s="49">
        <f t="shared" si="3"/>
        <v>1</v>
      </c>
      <c r="H50" s="32">
        <v>35445.375586155642</v>
      </c>
      <c r="I50" s="34">
        <f t="shared" si="7"/>
        <v>0.72817801470424603</v>
      </c>
      <c r="J50" s="51"/>
      <c r="K50" s="32">
        <v>0</v>
      </c>
      <c r="L50" s="32"/>
      <c r="M50" s="32"/>
      <c r="N50" s="32"/>
      <c r="O50" s="32"/>
      <c r="P50" s="32"/>
      <c r="Q50" s="32"/>
      <c r="R50" s="32"/>
      <c r="S50" s="32">
        <v>0</v>
      </c>
      <c r="T50" s="32"/>
      <c r="U50" s="32"/>
      <c r="V50" s="32"/>
      <c r="W50" s="32"/>
      <c r="X50" s="32"/>
      <c r="Y50" s="32"/>
      <c r="Z50" s="32"/>
      <c r="AA50" s="33">
        <v>10</v>
      </c>
      <c r="AB50" s="33">
        <v>860</v>
      </c>
      <c r="AC50" s="33"/>
      <c r="AD50" s="33">
        <v>0</v>
      </c>
      <c r="AE50" s="33"/>
      <c r="AF50" s="33">
        <v>0</v>
      </c>
      <c r="AG50" s="32"/>
      <c r="AH50" s="32"/>
      <c r="AI50" s="32"/>
      <c r="AJ50" s="98">
        <v>134431.94</v>
      </c>
      <c r="AK50" s="34">
        <v>155198.76</v>
      </c>
      <c r="AL50" s="33">
        <v>6334.848</v>
      </c>
      <c r="AM50" s="32">
        <v>70841.16538798144</v>
      </c>
      <c r="AN50" s="32"/>
      <c r="AO50" s="34">
        <v>23202.959999999999</v>
      </c>
      <c r="AP50" s="32">
        <v>354491.76</v>
      </c>
      <c r="AQ50" s="99">
        <v>66280.39</v>
      </c>
      <c r="AR50" s="99">
        <v>13492.39</v>
      </c>
      <c r="AS50" s="99">
        <v>52788</v>
      </c>
      <c r="AT50" s="100">
        <v>29373.636489226679</v>
      </c>
      <c r="AU50" s="101">
        <v>32205.46</v>
      </c>
      <c r="AV50" s="32">
        <v>180631.48001729487</v>
      </c>
      <c r="AW50" s="32"/>
      <c r="AX50" s="34">
        <f t="shared" si="8"/>
        <v>3.7108330871646218</v>
      </c>
      <c r="AY50" s="32">
        <f t="shared" si="5"/>
        <v>1256302.5962058192</v>
      </c>
      <c r="AZ50" s="26">
        <f>28.06*B50*12</f>
        <v>1365871.0079999999</v>
      </c>
      <c r="BA50" s="19" t="e">
        <f>(#REF!+#REF!+I50+#REF!+#REF!+#REF!+#REF!+AX50)*1.06+#REF!</f>
        <v>#REF!</v>
      </c>
      <c r="BB50" s="24"/>
      <c r="BC50" s="20"/>
      <c r="BD50" s="20"/>
      <c r="BE50" s="20"/>
    </row>
    <row r="51" spans="1:57" s="7" customFormat="1">
      <c r="A51" s="4" t="s">
        <v>46</v>
      </c>
      <c r="B51" s="8">
        <v>13791.9</v>
      </c>
      <c r="C51" s="48">
        <v>14</v>
      </c>
      <c r="D51" s="34">
        <v>491495.79566407186</v>
      </c>
      <c r="E51" s="37">
        <v>265081.72285979998</v>
      </c>
      <c r="F51" s="37">
        <v>139015.92000000001</v>
      </c>
      <c r="G51" s="49">
        <f t="shared" si="3"/>
        <v>2</v>
      </c>
      <c r="H51" s="32">
        <v>192539.06768235381</v>
      </c>
      <c r="I51" s="34">
        <f t="shared" si="7"/>
        <v>1.16335837026536</v>
      </c>
      <c r="J51" s="51"/>
      <c r="K51" s="32">
        <v>0</v>
      </c>
      <c r="L51" s="32">
        <v>2</v>
      </c>
      <c r="M51" s="32">
        <v>23000</v>
      </c>
      <c r="N51" s="32"/>
      <c r="O51" s="32"/>
      <c r="P51" s="32"/>
      <c r="Q51" s="32"/>
      <c r="R51" s="32">
        <v>56</v>
      </c>
      <c r="S51" s="32">
        <v>11200</v>
      </c>
      <c r="T51" s="32"/>
      <c r="U51" s="32"/>
      <c r="V51" s="32"/>
      <c r="W51" s="32"/>
      <c r="X51" s="32"/>
      <c r="Y51" s="32"/>
      <c r="Z51" s="32"/>
      <c r="AA51" s="33"/>
      <c r="AB51" s="33">
        <v>0</v>
      </c>
      <c r="AC51" s="33"/>
      <c r="AD51" s="33">
        <v>0</v>
      </c>
      <c r="AE51" s="33"/>
      <c r="AF51" s="33">
        <v>0</v>
      </c>
      <c r="AG51" s="32"/>
      <c r="AH51" s="32"/>
      <c r="AI51" s="32"/>
      <c r="AJ51" s="98">
        <v>508145.83</v>
      </c>
      <c r="AK51" s="100">
        <v>274724.64</v>
      </c>
      <c r="AL51" s="33">
        <v>11044.8</v>
      </c>
      <c r="AM51" s="32">
        <v>218227.29467372579</v>
      </c>
      <c r="AN51" s="32"/>
      <c r="AO51" s="34">
        <v>210120.24000000002</v>
      </c>
      <c r="AP51" s="32"/>
      <c r="AQ51" s="99">
        <v>52049.630000000005</v>
      </c>
      <c r="AR51" s="99">
        <v>10593.8</v>
      </c>
      <c r="AS51" s="99">
        <v>41455.83</v>
      </c>
      <c r="AT51" s="100">
        <v>69822.661597692902</v>
      </c>
      <c r="AU51" s="101">
        <f>2700+37922.64</f>
        <v>40622.639999999999</v>
      </c>
      <c r="AV51" s="32">
        <v>614153.26625838887</v>
      </c>
      <c r="AW51" s="32"/>
      <c r="AX51" s="34">
        <f t="shared" si="8"/>
        <v>3.7108330871646213</v>
      </c>
      <c r="AY51" s="32">
        <f t="shared" si="5"/>
        <v>2930177.9587360332</v>
      </c>
      <c r="AZ51" s="26">
        <f>17.87*B51*12</f>
        <v>2957535.0359999998</v>
      </c>
      <c r="BA51" s="19" t="e">
        <f>(#REF!+#REF!+I51+#REF!+#REF!+#REF!+#REF!+AX51)*1.06+#REF!</f>
        <v>#REF!</v>
      </c>
      <c r="BB51" s="24"/>
      <c r="BC51" s="20"/>
      <c r="BD51" s="20"/>
      <c r="BE51" s="20"/>
    </row>
    <row r="52" spans="1:57" ht="12.75" customHeight="1">
      <c r="A52" s="2" t="s">
        <v>48</v>
      </c>
      <c r="B52" s="8">
        <v>4281.5</v>
      </c>
      <c r="C52" s="48">
        <v>8</v>
      </c>
      <c r="D52" s="34">
        <v>149355.82008507341</v>
      </c>
      <c r="E52" s="37">
        <v>82290.678327000001</v>
      </c>
      <c r="F52" s="37"/>
      <c r="G52" s="49">
        <f t="shared" si="3"/>
        <v>2</v>
      </c>
      <c r="H52" s="32">
        <v>54365.834082468537</v>
      </c>
      <c r="I52" s="34">
        <f t="shared" si="7"/>
        <v>1.0581539585516861</v>
      </c>
      <c r="J52" s="51"/>
      <c r="K52" s="32">
        <v>0</v>
      </c>
      <c r="L52" s="32"/>
      <c r="M52" s="32"/>
      <c r="N52" s="32"/>
      <c r="O52" s="32"/>
      <c r="P52" s="32"/>
      <c r="Q52" s="32"/>
      <c r="R52" s="32">
        <v>30</v>
      </c>
      <c r="S52" s="32">
        <v>6000</v>
      </c>
      <c r="T52" s="32"/>
      <c r="U52" s="32"/>
      <c r="V52" s="32"/>
      <c r="W52" s="32"/>
      <c r="X52" s="32"/>
      <c r="Y52" s="32">
        <v>1</v>
      </c>
      <c r="Z52" s="32">
        <v>4320</v>
      </c>
      <c r="AA52" s="33"/>
      <c r="AB52" s="33">
        <v>0</v>
      </c>
      <c r="AC52" s="33"/>
      <c r="AD52" s="33">
        <v>0</v>
      </c>
      <c r="AE52" s="33"/>
      <c r="AF52" s="33">
        <v>0</v>
      </c>
      <c r="AG52" s="32"/>
      <c r="AH52" s="32"/>
      <c r="AI52" s="32"/>
      <c r="AJ52" s="98">
        <v>157746.67000000001</v>
      </c>
      <c r="AK52" s="34">
        <v>99514.32</v>
      </c>
      <c r="AL52" s="33">
        <v>3407.0400000000004</v>
      </c>
      <c r="AM52" s="32">
        <v>57630.614293960316</v>
      </c>
      <c r="AN52" s="32"/>
      <c r="AO52" s="34">
        <v>66145.200000000012</v>
      </c>
      <c r="AP52" s="32"/>
      <c r="AQ52" s="99">
        <v>14829.01</v>
      </c>
      <c r="AR52" s="99">
        <v>3018.19</v>
      </c>
      <c r="AS52" s="99">
        <v>11810.82</v>
      </c>
      <c r="AT52" s="100">
        <v>21496.037887726176</v>
      </c>
      <c r="AU52" s="101">
        <v>12956.88</v>
      </c>
      <c r="AV52" s="32">
        <v>190655.18235234395</v>
      </c>
      <c r="AW52" s="32"/>
      <c r="AX52" s="34">
        <f t="shared" si="8"/>
        <v>3.7108330871646218</v>
      </c>
      <c r="AY52" s="32">
        <f t="shared" si="5"/>
        <v>905884.27702857251</v>
      </c>
      <c r="AZ52" s="26">
        <f>17.03*B52*12</f>
        <v>874967.34000000008</v>
      </c>
      <c r="BA52" s="19" t="e">
        <f>(#REF!+#REF!+I52+#REF!+#REF!+#REF!+#REF!+AX52)*1.06+#REF!</f>
        <v>#REF!</v>
      </c>
      <c r="BB52" s="24"/>
      <c r="BC52" s="20"/>
      <c r="BD52" s="20"/>
      <c r="BE52" s="20"/>
    </row>
    <row r="53" spans="1:57">
      <c r="A53" s="2" t="s">
        <v>47</v>
      </c>
      <c r="B53" s="8">
        <v>1859.6</v>
      </c>
      <c r="C53" s="48">
        <v>10</v>
      </c>
      <c r="D53" s="34">
        <v>69663.902914820152</v>
      </c>
      <c r="E53" s="37">
        <v>35741.601799199998</v>
      </c>
      <c r="F53" s="37"/>
      <c r="G53" s="49">
        <f t="shared" si="3"/>
        <v>0</v>
      </c>
      <c r="H53" s="32">
        <v>15815.757528847013</v>
      </c>
      <c r="I53" s="34">
        <f t="shared" si="7"/>
        <v>0.7087437051358273</v>
      </c>
      <c r="J53" s="51"/>
      <c r="K53" s="32">
        <v>0</v>
      </c>
      <c r="L53" s="32"/>
      <c r="M53" s="32"/>
      <c r="N53" s="32"/>
      <c r="O53" s="32"/>
      <c r="P53" s="32"/>
      <c r="Q53" s="32"/>
      <c r="R53" s="32"/>
      <c r="S53" s="32">
        <v>0</v>
      </c>
      <c r="T53" s="32"/>
      <c r="U53" s="32"/>
      <c r="V53" s="32"/>
      <c r="W53" s="32"/>
      <c r="X53" s="32"/>
      <c r="Y53" s="32"/>
      <c r="Z53" s="32"/>
      <c r="AA53" s="33"/>
      <c r="AB53" s="33">
        <v>0</v>
      </c>
      <c r="AC53" s="33"/>
      <c r="AD53" s="33">
        <v>0</v>
      </c>
      <c r="AE53" s="33"/>
      <c r="AF53" s="33">
        <v>0</v>
      </c>
      <c r="AG53" s="32"/>
      <c r="AH53" s="32"/>
      <c r="AI53" s="32"/>
      <c r="AJ53" s="98">
        <v>68514.7</v>
      </c>
      <c r="AK53" s="34">
        <v>37043.279999999999</v>
      </c>
      <c r="AL53" s="33">
        <v>1984.3200000000002</v>
      </c>
      <c r="AM53" s="32">
        <v>30129.701239101243</v>
      </c>
      <c r="AN53" s="32"/>
      <c r="AO53" s="34">
        <v>12661.44</v>
      </c>
      <c r="AP53" s="32">
        <v>180530.16</v>
      </c>
      <c r="AQ53" s="99">
        <v>10805.17</v>
      </c>
      <c r="AR53" s="99">
        <v>2086.0300000000002</v>
      </c>
      <c r="AS53" s="99">
        <v>8719.14</v>
      </c>
      <c r="AT53" s="100">
        <v>11296.120268723136</v>
      </c>
      <c r="AU53" s="101">
        <v>2217.84</v>
      </c>
      <c r="AV53" s="32">
        <v>82807.98250669596</v>
      </c>
      <c r="AW53" s="32"/>
      <c r="AX53" s="34">
        <f t="shared" si="8"/>
        <v>3.7108330871646213</v>
      </c>
      <c r="AY53" s="32">
        <f t="shared" si="5"/>
        <v>548406.80625738751</v>
      </c>
      <c r="AZ53" s="26">
        <f t="shared" si="4"/>
        <v>560557.82400000002</v>
      </c>
      <c r="BA53" s="19" t="e">
        <f>(#REF!+#REF!+I53+#REF!+#REF!+#REF!+#REF!+AX53)*1.06+#REF!</f>
        <v>#REF!</v>
      </c>
      <c r="BB53" s="24"/>
      <c r="BC53" s="20"/>
      <c r="BD53" s="20"/>
      <c r="BE53" s="20"/>
    </row>
    <row r="54" spans="1:57">
      <c r="A54" s="2" t="s">
        <v>49</v>
      </c>
      <c r="B54" s="8">
        <v>4201</v>
      </c>
      <c r="C54" s="48">
        <v>12</v>
      </c>
      <c r="D54" s="34">
        <v>150732.69325035464</v>
      </c>
      <c r="E54" s="37">
        <v>80743.463657999993</v>
      </c>
      <c r="F54" s="37"/>
      <c r="G54" s="49">
        <f t="shared" si="3"/>
        <v>3</v>
      </c>
      <c r="H54" s="32">
        <v>181248.18766330733</v>
      </c>
      <c r="I54" s="34">
        <f t="shared" si="7"/>
        <v>3.5953381667719455</v>
      </c>
      <c r="J54" s="51"/>
      <c r="K54" s="32">
        <v>0</v>
      </c>
      <c r="L54" s="32">
        <v>5</v>
      </c>
      <c r="M54" s="32">
        <v>57500</v>
      </c>
      <c r="N54" s="32"/>
      <c r="O54" s="32"/>
      <c r="P54" s="32"/>
      <c r="Q54" s="32"/>
      <c r="R54" s="32">
        <v>10</v>
      </c>
      <c r="S54" s="32">
        <v>2000</v>
      </c>
      <c r="T54" s="32"/>
      <c r="U54" s="32"/>
      <c r="V54" s="32"/>
      <c r="W54" s="32"/>
      <c r="X54" s="32"/>
      <c r="Y54" s="32"/>
      <c r="Z54" s="32"/>
      <c r="AA54" s="33"/>
      <c r="AB54" s="33">
        <v>0</v>
      </c>
      <c r="AC54" s="33"/>
      <c r="AD54" s="33">
        <v>0</v>
      </c>
      <c r="AE54" s="33">
        <v>2</v>
      </c>
      <c r="AF54" s="33">
        <v>13290</v>
      </c>
      <c r="AG54" s="32"/>
      <c r="AH54" s="32"/>
      <c r="AI54" s="32"/>
      <c r="AJ54" s="98">
        <v>154902.32999999999</v>
      </c>
      <c r="AK54" s="34">
        <v>84677.88</v>
      </c>
      <c r="AL54" s="33">
        <v>3444.48</v>
      </c>
      <c r="AM54" s="32">
        <v>56580.991003603238</v>
      </c>
      <c r="AN54" s="32"/>
      <c r="AO54" s="34">
        <v>67048.08</v>
      </c>
      <c r="AP54" s="32"/>
      <c r="AQ54" s="99">
        <v>14832.99</v>
      </c>
      <c r="AR54" s="99">
        <v>3018.99</v>
      </c>
      <c r="AS54" s="99">
        <v>11814</v>
      </c>
      <c r="AT54" s="100">
        <v>20498.339591427404</v>
      </c>
      <c r="AU54" s="101">
        <v>2700</v>
      </c>
      <c r="AV54" s="32">
        <v>187070.5175901429</v>
      </c>
      <c r="AW54" s="32"/>
      <c r="AX54" s="34">
        <f t="shared" si="8"/>
        <v>3.7108330871646213</v>
      </c>
      <c r="AY54" s="32">
        <f t="shared" si="5"/>
        <v>1062436.9627568354</v>
      </c>
      <c r="AZ54" s="26">
        <f>17.03*B54*12</f>
        <v>858516.36</v>
      </c>
      <c r="BA54" s="19" t="e">
        <f>(#REF!+#REF!+I54+#REF!+#REF!+#REF!+#REF!+AX54)*1.06+#REF!</f>
        <v>#REF!</v>
      </c>
      <c r="BB54" s="24"/>
      <c r="BC54" s="20"/>
      <c r="BD54" s="20"/>
      <c r="BE54" s="20"/>
    </row>
    <row r="55" spans="1:57" ht="12.75" customHeight="1">
      <c r="A55" s="2" t="s">
        <v>50</v>
      </c>
      <c r="B55" s="8">
        <v>1391.2</v>
      </c>
      <c r="C55" s="48">
        <v>10</v>
      </c>
      <c r="D55" s="34">
        <v>51815.889888953432</v>
      </c>
      <c r="E55" s="37">
        <v>26738.944689600008</v>
      </c>
      <c r="F55" s="37"/>
      <c r="G55" s="49">
        <f t="shared" si="3"/>
        <v>2</v>
      </c>
      <c r="H55" s="32">
        <v>16641.250911019553</v>
      </c>
      <c r="I55" s="34">
        <f t="shared" si="7"/>
        <v>0.99681635225102749</v>
      </c>
      <c r="J55" s="51">
        <v>10</v>
      </c>
      <c r="K55" s="32">
        <v>2100</v>
      </c>
      <c r="L55" s="32"/>
      <c r="M55" s="32"/>
      <c r="N55" s="32"/>
      <c r="O55" s="32"/>
      <c r="P55" s="32"/>
      <c r="Q55" s="32"/>
      <c r="R55" s="32"/>
      <c r="S55" s="32">
        <v>0</v>
      </c>
      <c r="T55" s="32"/>
      <c r="U55" s="32"/>
      <c r="V55" s="32"/>
      <c r="W55" s="32"/>
      <c r="X55" s="32"/>
      <c r="Y55" s="32"/>
      <c r="Z55" s="32"/>
      <c r="AA55" s="33"/>
      <c r="AB55" s="33">
        <v>0</v>
      </c>
      <c r="AC55" s="33">
        <v>2</v>
      </c>
      <c r="AD55" s="33">
        <v>172</v>
      </c>
      <c r="AE55" s="33"/>
      <c r="AF55" s="33">
        <v>0</v>
      </c>
      <c r="AG55" s="32"/>
      <c r="AH55" s="32"/>
      <c r="AI55" s="32"/>
      <c r="AJ55" s="98">
        <v>51257.09</v>
      </c>
      <c r="AK55" s="34">
        <v>27712.68</v>
      </c>
      <c r="AL55" s="33">
        <v>1085.76</v>
      </c>
      <c r="AM55" s="32">
        <v>22206.354314604032</v>
      </c>
      <c r="AN55" s="32"/>
      <c r="AO55" s="34">
        <v>22978.560000000001</v>
      </c>
      <c r="AP55" s="32"/>
      <c r="AQ55" s="99">
        <v>5909.18</v>
      </c>
      <c r="AR55" s="99">
        <v>1202.71</v>
      </c>
      <c r="AS55" s="99">
        <v>4706.47</v>
      </c>
      <c r="AT55" s="100">
        <v>6833.847883147163</v>
      </c>
      <c r="AU55" s="101">
        <v>489.86</v>
      </c>
      <c r="AV55" s="32">
        <v>61950.131890361066</v>
      </c>
      <c r="AW55" s="32"/>
      <c r="AX55" s="34">
        <f t="shared" si="8"/>
        <v>3.7108330871646218</v>
      </c>
      <c r="AY55" s="32">
        <f t="shared" si="5"/>
        <v>291982.3695776852</v>
      </c>
      <c r="AZ55" s="26">
        <f>17.03*B55*12</f>
        <v>284305.63200000004</v>
      </c>
      <c r="BA55" s="19" t="e">
        <f>(#REF!+#REF!+I55+#REF!+#REF!+#REF!+#REF!+AX55)*1.06+#REF!</f>
        <v>#REF!</v>
      </c>
      <c r="BB55" s="24"/>
      <c r="BC55" s="20"/>
      <c r="BD55" s="20"/>
      <c r="BE55" s="20"/>
    </row>
    <row r="56" spans="1:57">
      <c r="A56" s="2" t="s">
        <v>81</v>
      </c>
      <c r="B56" s="8">
        <f>3432.1+77.4</f>
        <v>3509.5</v>
      </c>
      <c r="C56" s="48">
        <v>6</v>
      </c>
      <c r="D56" s="34">
        <v>120040.08139683874</v>
      </c>
      <c r="E56" s="37">
        <v>67452.79355100001</v>
      </c>
      <c r="F56" s="37"/>
      <c r="G56" s="49">
        <f t="shared" si="3"/>
        <v>0</v>
      </c>
      <c r="H56" s="32">
        <v>29848.032398090229</v>
      </c>
      <c r="I56" s="34">
        <f t="shared" si="7"/>
        <v>0.70874370513582718</v>
      </c>
      <c r="J56" s="51"/>
      <c r="K56" s="32">
        <v>0</v>
      </c>
      <c r="L56" s="32"/>
      <c r="M56" s="32"/>
      <c r="N56" s="32"/>
      <c r="O56" s="32"/>
      <c r="P56" s="32"/>
      <c r="Q56" s="32"/>
      <c r="R56" s="32"/>
      <c r="S56" s="32">
        <v>0</v>
      </c>
      <c r="T56" s="32"/>
      <c r="U56" s="32"/>
      <c r="V56" s="32"/>
      <c r="W56" s="32"/>
      <c r="X56" s="32"/>
      <c r="Y56" s="32"/>
      <c r="Z56" s="32"/>
      <c r="AA56" s="33"/>
      <c r="AB56" s="33">
        <v>0</v>
      </c>
      <c r="AC56" s="33"/>
      <c r="AD56" s="33">
        <v>0</v>
      </c>
      <c r="AE56" s="33"/>
      <c r="AF56" s="33">
        <v>0</v>
      </c>
      <c r="AG56" s="32"/>
      <c r="AH56" s="32"/>
      <c r="AI56" s="32"/>
      <c r="AJ56" s="98">
        <v>126451.56</v>
      </c>
      <c r="AK56" s="34">
        <v>69909.240000000005</v>
      </c>
      <c r="AL56" s="33">
        <v>2208.96</v>
      </c>
      <c r="AM56" s="32">
        <v>55679.371069007204</v>
      </c>
      <c r="AN56" s="32"/>
      <c r="AO56" s="34">
        <v>44287.584000000003</v>
      </c>
      <c r="AP56" s="32"/>
      <c r="AQ56" s="99">
        <v>3556.08</v>
      </c>
      <c r="AR56" s="99">
        <v>3556.08</v>
      </c>
      <c r="AS56" s="99">
        <v>0</v>
      </c>
      <c r="AT56" s="100">
        <v>16641.875370639067</v>
      </c>
      <c r="AU56" s="101">
        <v>5938.03</v>
      </c>
      <c r="AV56" s="32">
        <v>156278.02463285089</v>
      </c>
      <c r="AW56" s="32"/>
      <c r="AX56" s="34">
        <f t="shared" si="8"/>
        <v>3.7108330871646218</v>
      </c>
      <c r="AY56" s="32">
        <f t="shared" si="5"/>
        <v>694735.55241842614</v>
      </c>
      <c r="AZ56" s="26">
        <f>17.03*B56*12</f>
        <v>717201.42</v>
      </c>
      <c r="BA56" s="19" t="e">
        <f>(#REF!+#REF!+I56+#REF!+#REF!+#REF!+#REF!+AX56)*1.06+#REF!</f>
        <v>#REF!</v>
      </c>
      <c r="BB56" s="24"/>
      <c r="BC56" s="20"/>
      <c r="BD56" s="20"/>
      <c r="BE56" s="20"/>
    </row>
    <row r="57" spans="1:57">
      <c r="A57" s="2" t="s">
        <v>51</v>
      </c>
      <c r="B57" s="8">
        <f>3672.8+1077</f>
        <v>4749.8</v>
      </c>
      <c r="C57" s="48">
        <v>12</v>
      </c>
      <c r="D57" s="34">
        <v>283873.8058535445</v>
      </c>
      <c r="E57" s="37">
        <v>112383.0604116</v>
      </c>
      <c r="F57" s="37"/>
      <c r="G57" s="49">
        <f t="shared" si="3"/>
        <v>0</v>
      </c>
      <c r="H57" s="32">
        <v>47741.542972913434</v>
      </c>
      <c r="I57" s="34">
        <f t="shared" si="7"/>
        <v>0.83760619697870498</v>
      </c>
      <c r="J57" s="51"/>
      <c r="K57" s="32">
        <v>0</v>
      </c>
      <c r="L57" s="32"/>
      <c r="M57" s="32"/>
      <c r="N57" s="32"/>
      <c r="O57" s="32"/>
      <c r="P57" s="32"/>
      <c r="Q57" s="32"/>
      <c r="R57" s="32"/>
      <c r="S57" s="32">
        <v>0</v>
      </c>
      <c r="T57" s="32"/>
      <c r="U57" s="32"/>
      <c r="V57" s="32"/>
      <c r="W57" s="32"/>
      <c r="X57" s="32"/>
      <c r="Y57" s="32"/>
      <c r="Z57" s="32"/>
      <c r="AA57" s="33"/>
      <c r="AB57" s="33">
        <v>0</v>
      </c>
      <c r="AC57" s="33"/>
      <c r="AD57" s="33">
        <v>0</v>
      </c>
      <c r="AE57" s="33"/>
      <c r="AF57" s="33">
        <v>0</v>
      </c>
      <c r="AG57" s="32"/>
      <c r="AH57" s="32"/>
      <c r="AI57" s="32"/>
      <c r="AJ57" s="98">
        <v>135319.85999999999</v>
      </c>
      <c r="AK57" s="34">
        <v>170695.56</v>
      </c>
      <c r="AL57" s="33">
        <v>2583.36</v>
      </c>
      <c r="AM57" s="32">
        <v>141178.44190174396</v>
      </c>
      <c r="AN57" s="32"/>
      <c r="AO57" s="34">
        <v>22828.799999999999</v>
      </c>
      <c r="AP57" s="32">
        <v>356545.8</v>
      </c>
      <c r="AQ57" s="99">
        <v>20534.61</v>
      </c>
      <c r="AR57" s="99">
        <v>3964.38</v>
      </c>
      <c r="AS57" s="99">
        <v>16570.23</v>
      </c>
      <c r="AT57" s="100">
        <v>25728.946935005944</v>
      </c>
      <c r="AU57" s="101"/>
      <c r="AV57" s="32">
        <v>211508.57996897426</v>
      </c>
      <c r="AW57" s="32"/>
      <c r="AX57" s="34">
        <f t="shared" si="8"/>
        <v>3.7108330871646218</v>
      </c>
      <c r="AY57" s="32">
        <f t="shared" si="5"/>
        <v>1510387.7580437821</v>
      </c>
      <c r="AZ57" s="26">
        <f>27.22*B57*12</f>
        <v>1551474.672</v>
      </c>
      <c r="BA57" s="19" t="e">
        <f>(#REF!+#REF!+I57+#REF!+#REF!+#REF!+#REF!+AX57)*1.06+#REF!</f>
        <v>#REF!</v>
      </c>
      <c r="BB57" s="24"/>
      <c r="BC57" s="20"/>
      <c r="BD57" s="20"/>
      <c r="BE57" s="20"/>
    </row>
    <row r="58" spans="1:57" s="7" customFormat="1" ht="12.75" customHeight="1">
      <c r="A58" s="4" t="s">
        <v>52</v>
      </c>
      <c r="B58" s="8">
        <v>6934.5</v>
      </c>
      <c r="C58" s="48">
        <v>15</v>
      </c>
      <c r="D58" s="34">
        <v>263996.18533363106</v>
      </c>
      <c r="E58" s="37">
        <v>133281.49220099999</v>
      </c>
      <c r="F58" s="37"/>
      <c r="G58" s="49">
        <f t="shared" si="3"/>
        <v>1</v>
      </c>
      <c r="H58" s="32">
        <v>68217.398679172737</v>
      </c>
      <c r="I58" s="34">
        <f t="shared" si="7"/>
        <v>0.81978271299508176</v>
      </c>
      <c r="J58" s="51">
        <v>20</v>
      </c>
      <c r="K58" s="32">
        <v>4200</v>
      </c>
      <c r="L58" s="32"/>
      <c r="M58" s="32"/>
      <c r="N58" s="32"/>
      <c r="O58" s="32"/>
      <c r="P58" s="32"/>
      <c r="Q58" s="32"/>
      <c r="R58" s="32"/>
      <c r="S58" s="32">
        <v>0</v>
      </c>
      <c r="T58" s="32"/>
      <c r="U58" s="32"/>
      <c r="V58" s="32"/>
      <c r="W58" s="32"/>
      <c r="X58" s="32"/>
      <c r="Y58" s="32"/>
      <c r="Z58" s="32"/>
      <c r="AA58" s="33"/>
      <c r="AB58" s="33">
        <v>0</v>
      </c>
      <c r="AC58" s="33"/>
      <c r="AD58" s="33">
        <v>0</v>
      </c>
      <c r="AE58" s="33"/>
      <c r="AF58" s="33">
        <v>0</v>
      </c>
      <c r="AG58" s="32"/>
      <c r="AH58" s="32"/>
      <c r="AI58" s="32"/>
      <c r="AJ58" s="98">
        <v>255493.24</v>
      </c>
      <c r="AK58" s="34">
        <v>138135.24</v>
      </c>
      <c r="AL58" s="33">
        <v>5803.2</v>
      </c>
      <c r="AM58" s="32">
        <v>101922.48577952954</v>
      </c>
      <c r="AN58" s="32"/>
      <c r="AO58" s="34">
        <v>111099.12000000001</v>
      </c>
      <c r="AP58" s="32"/>
      <c r="AQ58" s="99">
        <v>33311.090000000004</v>
      </c>
      <c r="AR58" s="99">
        <v>6429.94</v>
      </c>
      <c r="AS58" s="99">
        <v>26881.15</v>
      </c>
      <c r="AT58" s="100">
        <v>33815.591370178438</v>
      </c>
      <c r="AU58" s="101">
        <v>2394.7399999999998</v>
      </c>
      <c r="AV58" s="32">
        <v>308793.26451531681</v>
      </c>
      <c r="AW58" s="32"/>
      <c r="AX58" s="34">
        <f t="shared" si="8"/>
        <v>3.7108330871646213</v>
      </c>
      <c r="AY58" s="32">
        <f t="shared" si="5"/>
        <v>1427151.9578788285</v>
      </c>
      <c r="AZ58" s="26">
        <f>17.03*B58*12</f>
        <v>1417134.42</v>
      </c>
      <c r="BA58" s="19" t="e">
        <f>(#REF!+#REF!+I58+#REF!+#REF!+#REF!+#REF!+AX58)*1.06+#REF!</f>
        <v>#REF!</v>
      </c>
      <c r="BB58" s="24"/>
      <c r="BC58" s="20"/>
      <c r="BD58" s="20"/>
      <c r="BE58" s="20"/>
    </row>
    <row r="59" spans="1:57" s="7" customFormat="1">
      <c r="A59" s="4" t="s">
        <v>53</v>
      </c>
      <c r="B59" s="8">
        <v>5221.7</v>
      </c>
      <c r="C59" s="48">
        <v>10</v>
      </c>
      <c r="D59" s="34">
        <v>207372.7739683353</v>
      </c>
      <c r="E59" s="37">
        <v>100361.37685860001</v>
      </c>
      <c r="F59" s="37"/>
      <c r="G59" s="49">
        <f t="shared" si="3"/>
        <v>1</v>
      </c>
      <c r="H59" s="32">
        <v>73648.164061292991</v>
      </c>
      <c r="I59" s="34">
        <f t="shared" si="7"/>
        <v>1.175354195972145</v>
      </c>
      <c r="J59" s="51"/>
      <c r="K59" s="32">
        <v>0</v>
      </c>
      <c r="L59" s="32"/>
      <c r="M59" s="32"/>
      <c r="N59" s="32"/>
      <c r="O59" s="32"/>
      <c r="P59" s="32"/>
      <c r="Q59" s="32"/>
      <c r="R59" s="32"/>
      <c r="S59" s="32">
        <v>0</v>
      </c>
      <c r="T59" s="32"/>
      <c r="U59" s="32"/>
      <c r="V59" s="32"/>
      <c r="W59" s="32"/>
      <c r="X59" s="32"/>
      <c r="Y59" s="32"/>
      <c r="Z59" s="32"/>
      <c r="AA59" s="33"/>
      <c r="AB59" s="33">
        <v>0</v>
      </c>
      <c r="AC59" s="33"/>
      <c r="AD59" s="33">
        <v>0</v>
      </c>
      <c r="AE59" s="33">
        <v>4</v>
      </c>
      <c r="AF59" s="33">
        <v>26580</v>
      </c>
      <c r="AG59" s="32"/>
      <c r="AH59" s="32"/>
      <c r="AI59" s="32"/>
      <c r="AJ59" s="98">
        <v>192387.21</v>
      </c>
      <c r="AK59" s="34">
        <v>104016.24</v>
      </c>
      <c r="AL59" s="33">
        <v>4380.4799999999996</v>
      </c>
      <c r="AM59" s="32">
        <v>83624.09269096308</v>
      </c>
      <c r="AN59" s="32">
        <v>12500</v>
      </c>
      <c r="AO59" s="34">
        <v>88374</v>
      </c>
      <c r="AP59" s="32"/>
      <c r="AQ59" s="99">
        <v>25374.85</v>
      </c>
      <c r="AR59" s="99">
        <v>4898.03</v>
      </c>
      <c r="AS59" s="99">
        <v>20476.82</v>
      </c>
      <c r="AT59" s="100">
        <v>25786.379801717936</v>
      </c>
      <c r="AU59" s="101">
        <v>3092.34</v>
      </c>
      <c r="AV59" s="32">
        <v>232522.28557497007</v>
      </c>
      <c r="AW59" s="32"/>
      <c r="AX59" s="34">
        <f t="shared" si="8"/>
        <v>3.7108330871646218</v>
      </c>
      <c r="AY59" s="32">
        <f t="shared" si="5"/>
        <v>1154645.3429558794</v>
      </c>
      <c r="AZ59" s="26">
        <f>17.03*B59*12</f>
        <v>1067106.6120000002</v>
      </c>
      <c r="BA59" s="19" t="e">
        <f>(#REF!+#REF!+I59+#REF!+#REF!+#REF!+#REF!+AX59)*1.06+#REF!</f>
        <v>#REF!</v>
      </c>
      <c r="BB59" s="24"/>
      <c r="BC59" s="20"/>
      <c r="BD59" s="20"/>
      <c r="BE59" s="20"/>
    </row>
    <row r="60" spans="1:57" s="7" customFormat="1">
      <c r="A60" s="4" t="s">
        <v>54</v>
      </c>
      <c r="B60" s="8">
        <v>2582.6999999999998</v>
      </c>
      <c r="C60" s="48">
        <v>10</v>
      </c>
      <c r="D60" s="34">
        <v>96869.909908424379</v>
      </c>
      <c r="E60" s="37">
        <v>49639.643796600001</v>
      </c>
      <c r="F60" s="37"/>
      <c r="G60" s="49">
        <f t="shared" si="3"/>
        <v>0</v>
      </c>
      <c r="H60" s="32">
        <v>21965.668407051609</v>
      </c>
      <c r="I60" s="34">
        <f t="shared" si="7"/>
        <v>0.70874370513582718</v>
      </c>
      <c r="J60" s="51"/>
      <c r="K60" s="32">
        <v>0</v>
      </c>
      <c r="L60" s="32"/>
      <c r="M60" s="32"/>
      <c r="N60" s="32"/>
      <c r="O60" s="32"/>
      <c r="P60" s="32"/>
      <c r="Q60" s="32"/>
      <c r="R60" s="32"/>
      <c r="S60" s="32">
        <v>0</v>
      </c>
      <c r="T60" s="32"/>
      <c r="U60" s="32"/>
      <c r="V60" s="32"/>
      <c r="W60" s="32"/>
      <c r="X60" s="32"/>
      <c r="Y60" s="32"/>
      <c r="Z60" s="32"/>
      <c r="AA60" s="33"/>
      <c r="AB60" s="33">
        <v>0</v>
      </c>
      <c r="AC60" s="33"/>
      <c r="AD60" s="33">
        <v>0</v>
      </c>
      <c r="AE60" s="33"/>
      <c r="AF60" s="33">
        <v>0</v>
      </c>
      <c r="AG60" s="32"/>
      <c r="AH60" s="32"/>
      <c r="AI60" s="32"/>
      <c r="AJ60" s="98">
        <v>95064.34</v>
      </c>
      <c r="AK60" s="34">
        <v>51447.360000000001</v>
      </c>
      <c r="AL60" s="33">
        <v>2171.52</v>
      </c>
      <c r="AM60" s="32">
        <v>41349.507690646795</v>
      </c>
      <c r="AN60" s="32"/>
      <c r="AO60" s="34">
        <v>44404.800000000003</v>
      </c>
      <c r="AP60" s="32"/>
      <c r="AQ60" s="99">
        <v>12672.65</v>
      </c>
      <c r="AR60" s="99">
        <v>2446.16</v>
      </c>
      <c r="AS60" s="99">
        <v>10226.49</v>
      </c>
      <c r="AT60" s="100">
        <v>12790.34768277247</v>
      </c>
      <c r="AU60" s="101">
        <v>3615.72</v>
      </c>
      <c r="AV60" s="32">
        <v>115007.62337064081</v>
      </c>
      <c r="AW60" s="32"/>
      <c r="AX60" s="34">
        <f t="shared" si="8"/>
        <v>3.7108330871646213</v>
      </c>
      <c r="AY60" s="32">
        <f t="shared" si="5"/>
        <v>534326.44085613603</v>
      </c>
      <c r="AZ60" s="26">
        <f>17.03*B60*12</f>
        <v>527800.57200000004</v>
      </c>
      <c r="BA60" s="19" t="e">
        <f>(#REF!+#REF!+I60+#REF!+#REF!+#REF!+#REF!+AX60)*1.06+#REF!</f>
        <v>#REF!</v>
      </c>
      <c r="BB60" s="24"/>
      <c r="BC60" s="20"/>
      <c r="BD60" s="20"/>
      <c r="BE60" s="20"/>
    </row>
    <row r="61" spans="1:57" ht="12.75" customHeight="1">
      <c r="A61" s="2" t="s">
        <v>55</v>
      </c>
      <c r="B61" s="8">
        <f>7713.4+140.3</f>
        <v>7853.7</v>
      </c>
      <c r="C61" s="48">
        <v>8</v>
      </c>
      <c r="D61" s="34">
        <v>314617.92751281796</v>
      </c>
      <c r="E61" s="37">
        <v>170975.99334419996</v>
      </c>
      <c r="F61" s="37">
        <v>77751.62</v>
      </c>
      <c r="G61" s="49">
        <f t="shared" si="3"/>
        <v>2</v>
      </c>
      <c r="H61" s="32">
        <v>146799.69347053985</v>
      </c>
      <c r="I61" s="34">
        <f t="shared" si="7"/>
        <v>1.5576489793615307</v>
      </c>
      <c r="J61" s="51">
        <v>10</v>
      </c>
      <c r="K61" s="32">
        <v>2100</v>
      </c>
      <c r="L61" s="32"/>
      <c r="M61" s="32"/>
      <c r="N61" s="32"/>
      <c r="O61" s="32"/>
      <c r="P61" s="32"/>
      <c r="Q61" s="32"/>
      <c r="R61" s="32">
        <v>120</v>
      </c>
      <c r="S61" s="32">
        <v>24000</v>
      </c>
      <c r="T61" s="32"/>
      <c r="U61" s="32"/>
      <c r="V61" s="32"/>
      <c r="W61" s="32"/>
      <c r="X61" s="32"/>
      <c r="Y61" s="32"/>
      <c r="Z61" s="32"/>
      <c r="AA61" s="33"/>
      <c r="AB61" s="33">
        <v>0</v>
      </c>
      <c r="AC61" s="33"/>
      <c r="AD61" s="33">
        <v>0</v>
      </c>
      <c r="AE61" s="33"/>
      <c r="AF61" s="33">
        <v>0</v>
      </c>
      <c r="AG61" s="32"/>
      <c r="AH61" s="32"/>
      <c r="AI61" s="32"/>
      <c r="AJ61" s="98">
        <v>286018.34000000003</v>
      </c>
      <c r="AK61" s="34">
        <v>305772.83999999997</v>
      </c>
      <c r="AL61" s="33">
        <v>5316.4800000000005</v>
      </c>
      <c r="AM61" s="32">
        <v>179214.93696183557</v>
      </c>
      <c r="AN61" s="32"/>
      <c r="AO61" s="34">
        <v>45233.760000000002</v>
      </c>
      <c r="AP61" s="32">
        <v>748819.68</v>
      </c>
      <c r="AQ61" s="99">
        <v>45605.07</v>
      </c>
      <c r="AR61" s="99">
        <v>8804.44</v>
      </c>
      <c r="AS61" s="99">
        <v>36800.629999999997</v>
      </c>
      <c r="AT61" s="100">
        <v>49960.526885488674</v>
      </c>
      <c r="AU61" s="101">
        <v>20071.79</v>
      </c>
      <c r="AV61" s="32">
        <v>349725.23779997748</v>
      </c>
      <c r="AW61" s="32"/>
      <c r="AX61" s="34">
        <f t="shared" si="8"/>
        <v>3.7108330871646218</v>
      </c>
      <c r="AY61" s="32">
        <f t="shared" si="5"/>
        <v>2648627.2059748592</v>
      </c>
      <c r="AZ61" s="26">
        <f>28.06*B61*12</f>
        <v>2644497.8640000001</v>
      </c>
      <c r="BA61" s="19" t="e">
        <f>(#REF!+#REF!+I61+#REF!+#REF!+#REF!+#REF!+AX61)*1.06+#REF!</f>
        <v>#REF!</v>
      </c>
      <c r="BB61" s="24"/>
      <c r="BC61" s="20"/>
      <c r="BD61" s="20"/>
      <c r="BE61" s="20"/>
    </row>
    <row r="62" spans="1:57">
      <c r="A62" s="2" t="s">
        <v>56</v>
      </c>
      <c r="B62" s="8">
        <f>1964.8+120.1</f>
        <v>2084.9</v>
      </c>
      <c r="C62" s="48">
        <v>6</v>
      </c>
      <c r="D62" s="34">
        <v>70829.943986399507</v>
      </c>
      <c r="E62" s="37">
        <v>46109.763334800002</v>
      </c>
      <c r="F62" s="37"/>
      <c r="G62" s="49">
        <f t="shared" si="3"/>
        <v>2</v>
      </c>
      <c r="H62" s="32">
        <v>43471.917010052239</v>
      </c>
      <c r="I62" s="34">
        <f t="shared" si="7"/>
        <v>1.737570027741228</v>
      </c>
      <c r="J62" s="51">
        <v>10</v>
      </c>
      <c r="K62" s="32">
        <v>2100</v>
      </c>
      <c r="L62" s="32"/>
      <c r="M62" s="32"/>
      <c r="N62" s="32"/>
      <c r="O62" s="32"/>
      <c r="P62" s="32"/>
      <c r="Q62" s="32"/>
      <c r="R62" s="32">
        <v>48</v>
      </c>
      <c r="S62" s="32">
        <v>9600</v>
      </c>
      <c r="T62" s="32"/>
      <c r="U62" s="32"/>
      <c r="V62" s="32"/>
      <c r="W62" s="32"/>
      <c r="X62" s="32"/>
      <c r="Y62" s="32"/>
      <c r="Z62" s="32"/>
      <c r="AA62" s="33"/>
      <c r="AB62" s="33">
        <v>0</v>
      </c>
      <c r="AC62" s="33"/>
      <c r="AD62" s="33">
        <v>0</v>
      </c>
      <c r="AE62" s="33"/>
      <c r="AF62" s="33">
        <v>0</v>
      </c>
      <c r="AG62" s="32"/>
      <c r="AH62" s="32"/>
      <c r="AI62" s="32"/>
      <c r="AJ62" s="98">
        <v>72390.67</v>
      </c>
      <c r="AK62" s="34">
        <v>78874.92</v>
      </c>
      <c r="AL62" s="33">
        <v>1310.3999999999999</v>
      </c>
      <c r="AM62" s="32">
        <v>33775.070302485576</v>
      </c>
      <c r="AN62" s="32"/>
      <c r="AO62" s="34">
        <v>11571.120000000003</v>
      </c>
      <c r="AP62" s="32">
        <v>190743.12</v>
      </c>
      <c r="AQ62" s="99">
        <v>11370.44</v>
      </c>
      <c r="AR62" s="99">
        <v>2195.16</v>
      </c>
      <c r="AS62" s="99">
        <v>9175.2800000000007</v>
      </c>
      <c r="AT62" s="100">
        <v>12725.780077657542</v>
      </c>
      <c r="AU62" s="101"/>
      <c r="AV62" s="32">
        <v>92840.590841154248</v>
      </c>
      <c r="AW62" s="32"/>
      <c r="AX62" s="34">
        <f t="shared" si="8"/>
        <v>3.7108330871646218</v>
      </c>
      <c r="AY62" s="32">
        <f t="shared" si="5"/>
        <v>666343.29555254907</v>
      </c>
      <c r="AZ62" s="26">
        <f>27.22*B62*12</f>
        <v>681011.73600000003</v>
      </c>
      <c r="BA62" s="19" t="e">
        <f>(#REF!+#REF!+I62+#REF!+#REF!+#REF!+#REF!+AX62)*1.06+#REF!</f>
        <v>#REF!</v>
      </c>
      <c r="BB62" s="24"/>
      <c r="BC62" s="20"/>
      <c r="BD62" s="20"/>
      <c r="BE62" s="20"/>
    </row>
    <row r="63" spans="1:57">
      <c r="A63" s="2" t="s">
        <v>57</v>
      </c>
      <c r="B63" s="8">
        <f>2088.1+16.1</f>
        <v>2104.1999999999998</v>
      </c>
      <c r="C63" s="48">
        <v>6</v>
      </c>
      <c r="D63" s="34">
        <v>71921.749853605361</v>
      </c>
      <c r="E63" s="37">
        <v>45576.935474399994</v>
      </c>
      <c r="F63" s="37"/>
      <c r="G63" s="49">
        <f t="shared" si="3"/>
        <v>1</v>
      </c>
      <c r="H63" s="32">
        <v>17990.662052161693</v>
      </c>
      <c r="I63" s="34">
        <f t="shared" si="7"/>
        <v>0.71249018043918888</v>
      </c>
      <c r="J63" s="51"/>
      <c r="K63" s="32">
        <v>0</v>
      </c>
      <c r="L63" s="32"/>
      <c r="M63" s="32"/>
      <c r="N63" s="32"/>
      <c r="O63" s="32"/>
      <c r="P63" s="32"/>
      <c r="Q63" s="32"/>
      <c r="R63" s="32"/>
      <c r="S63" s="32">
        <v>0</v>
      </c>
      <c r="T63" s="32"/>
      <c r="U63" s="32"/>
      <c r="V63" s="32"/>
      <c r="W63" s="32"/>
      <c r="X63" s="32"/>
      <c r="Y63" s="32"/>
      <c r="Z63" s="32"/>
      <c r="AA63" s="33"/>
      <c r="AB63" s="33">
        <v>0</v>
      </c>
      <c r="AC63" s="33">
        <v>1</v>
      </c>
      <c r="AD63" s="33">
        <v>86</v>
      </c>
      <c r="AE63" s="33"/>
      <c r="AF63" s="33">
        <v>0</v>
      </c>
      <c r="AG63" s="32"/>
      <c r="AH63" s="32"/>
      <c r="AI63" s="32"/>
      <c r="AJ63" s="98">
        <v>76933.52</v>
      </c>
      <c r="AK63" s="34">
        <v>79305.72</v>
      </c>
      <c r="AL63" s="33">
        <v>1310.3999999999999</v>
      </c>
      <c r="AM63" s="32">
        <v>34391.83847080922</v>
      </c>
      <c r="AN63" s="32"/>
      <c r="AO63" s="34">
        <v>11394.24</v>
      </c>
      <c r="AP63" s="32">
        <v>202712.64</v>
      </c>
      <c r="AQ63" s="99">
        <v>11678.76</v>
      </c>
      <c r="AR63" s="99">
        <v>2254.6799999999998</v>
      </c>
      <c r="AS63" s="99">
        <v>9424.08</v>
      </c>
      <c r="AT63" s="100">
        <v>13457.585412454477</v>
      </c>
      <c r="AU63" s="101">
        <v>4937.25</v>
      </c>
      <c r="AV63" s="32">
        <v>93700.019784141565</v>
      </c>
      <c r="AW63" s="32"/>
      <c r="AX63" s="34">
        <f t="shared" si="8"/>
        <v>3.7108330871646218</v>
      </c>
      <c r="AY63" s="32">
        <f t="shared" si="5"/>
        <v>653718.56104757229</v>
      </c>
      <c r="AZ63" s="26">
        <f>27.22*B63*12</f>
        <v>687315.88799999992</v>
      </c>
      <c r="BA63" s="19" t="e">
        <f>(#REF!+#REF!+I63+#REF!+#REF!+#REF!+#REF!+AX63)*1.06+#REF!</f>
        <v>#REF!</v>
      </c>
      <c r="BB63" s="24"/>
      <c r="BC63" s="20"/>
      <c r="BD63" s="20"/>
      <c r="BE63" s="20"/>
    </row>
    <row r="64" spans="1:57" ht="12.75" customHeight="1">
      <c r="A64" s="2" t="s">
        <v>58</v>
      </c>
      <c r="B64" s="8">
        <f>1979.1+118</f>
        <v>2097.1</v>
      </c>
      <c r="C64" s="48">
        <v>7</v>
      </c>
      <c r="D64" s="34">
        <v>71816.324793648804</v>
      </c>
      <c r="E64" s="37">
        <v>46348.511893199997</v>
      </c>
      <c r="F64" s="37"/>
      <c r="G64" s="49">
        <f t="shared" si="3"/>
        <v>1</v>
      </c>
      <c r="H64" s="32">
        <v>17930.277088484119</v>
      </c>
      <c r="I64" s="34">
        <f t="shared" si="7"/>
        <v>0.71250286461002188</v>
      </c>
      <c r="J64" s="51"/>
      <c r="K64" s="32">
        <v>0</v>
      </c>
      <c r="L64" s="32"/>
      <c r="M64" s="32"/>
      <c r="N64" s="32"/>
      <c r="O64" s="32"/>
      <c r="P64" s="32"/>
      <c r="Q64" s="32"/>
      <c r="R64" s="32"/>
      <c r="S64" s="32">
        <v>0</v>
      </c>
      <c r="T64" s="32"/>
      <c r="U64" s="32"/>
      <c r="V64" s="32"/>
      <c r="W64" s="32"/>
      <c r="X64" s="32"/>
      <c r="Y64" s="32"/>
      <c r="Z64" s="32"/>
      <c r="AA64" s="33"/>
      <c r="AB64" s="33">
        <v>0</v>
      </c>
      <c r="AC64" s="33">
        <v>1</v>
      </c>
      <c r="AD64" s="33">
        <v>86</v>
      </c>
      <c r="AE64" s="33"/>
      <c r="AF64" s="33">
        <v>0</v>
      </c>
      <c r="AG64" s="32"/>
      <c r="AH64" s="32"/>
      <c r="AI64" s="32"/>
      <c r="AJ64" s="98">
        <v>72939.649999999994</v>
      </c>
      <c r="AK64" s="34">
        <v>79160.639999999999</v>
      </c>
      <c r="AL64" s="33">
        <v>1272.9599999999998</v>
      </c>
      <c r="AM64" s="32">
        <v>33910.641916659079</v>
      </c>
      <c r="AN64" s="32"/>
      <c r="AO64" s="34">
        <v>11410.08</v>
      </c>
      <c r="AP64" s="32">
        <v>192189.6</v>
      </c>
      <c r="AQ64" s="99">
        <v>11473.21</v>
      </c>
      <c r="AR64" s="99">
        <v>2215</v>
      </c>
      <c r="AS64" s="99">
        <v>9258.2099999999991</v>
      </c>
      <c r="AT64" s="100">
        <v>12779.553147594652</v>
      </c>
      <c r="AU64" s="101">
        <v>6834.97</v>
      </c>
      <c r="AV64" s="32">
        <v>93383.856805115138</v>
      </c>
      <c r="AW64" s="32"/>
      <c r="AX64" s="34">
        <f t="shared" si="8"/>
        <v>3.7108330871646218</v>
      </c>
      <c r="AY64" s="32">
        <f t="shared" si="5"/>
        <v>640063.06564470183</v>
      </c>
      <c r="AZ64" s="26">
        <f>27.22*B64*12</f>
        <v>684996.74399999995</v>
      </c>
      <c r="BA64" s="19" t="e">
        <f>(#REF!+#REF!+I64+#REF!+#REF!+#REF!+#REF!+AX64)*1.06+#REF!</f>
        <v>#REF!</v>
      </c>
      <c r="BB64" s="24"/>
      <c r="BC64" s="20"/>
      <c r="BD64" s="20"/>
      <c r="BE64" s="20"/>
    </row>
    <row r="65" spans="1:57">
      <c r="A65" s="2" t="s">
        <v>59</v>
      </c>
      <c r="B65" s="8">
        <v>5675.2</v>
      </c>
      <c r="C65" s="52">
        <v>10</v>
      </c>
      <c r="D65" s="34">
        <v>196670.61690158906</v>
      </c>
      <c r="E65" s="37">
        <v>122500.92329639998</v>
      </c>
      <c r="F65" s="37"/>
      <c r="G65" s="49">
        <f>COUNT(J65,L65,N65,P65,R65,Y65,#REF!,AA65,#REF!,AC65,AE65)</f>
        <v>3</v>
      </c>
      <c r="H65" s="32">
        <v>233177.97831174609</v>
      </c>
      <c r="I65" s="34">
        <f t="shared" si="7"/>
        <v>3.4239318777568202</v>
      </c>
      <c r="J65" s="51">
        <v>120</v>
      </c>
      <c r="K65" s="32">
        <v>25200</v>
      </c>
      <c r="L65" s="32">
        <v>2</v>
      </c>
      <c r="M65" s="32">
        <v>37000</v>
      </c>
      <c r="N65" s="32"/>
      <c r="O65" s="32"/>
      <c r="P65" s="32"/>
      <c r="Q65" s="32"/>
      <c r="R65" s="32">
        <v>48</v>
      </c>
      <c r="S65" s="32">
        <v>9600</v>
      </c>
      <c r="T65" s="32"/>
      <c r="U65" s="47"/>
      <c r="V65" s="32"/>
      <c r="W65" s="32"/>
      <c r="X65" s="32"/>
      <c r="Y65" s="32"/>
      <c r="Z65" s="32"/>
      <c r="AA65" s="33"/>
      <c r="AB65" s="33">
        <v>0</v>
      </c>
      <c r="AC65" s="33"/>
      <c r="AD65" s="33">
        <v>0</v>
      </c>
      <c r="AE65" s="33"/>
      <c r="AF65" s="33">
        <v>0</v>
      </c>
      <c r="AG65" s="32"/>
      <c r="AH65" s="32"/>
      <c r="AI65" s="32">
        <v>32500</v>
      </c>
      <c r="AJ65" s="98">
        <v>209206.39</v>
      </c>
      <c r="AK65" s="34">
        <v>223690.44</v>
      </c>
      <c r="AL65" s="33">
        <v>4155.84</v>
      </c>
      <c r="AM65" s="32">
        <v>77574.251390490128</v>
      </c>
      <c r="AN65" s="32"/>
      <c r="AO65" s="34">
        <v>34127.279999999999</v>
      </c>
      <c r="AP65" s="32">
        <v>551238.84</v>
      </c>
      <c r="AQ65" s="99">
        <v>30336</v>
      </c>
      <c r="AR65" s="99">
        <v>5856.62</v>
      </c>
      <c r="AS65" s="99">
        <v>24479.38</v>
      </c>
      <c r="AT65" s="100">
        <v>35805.700322304314</v>
      </c>
      <c r="AU65" s="101">
        <v>11855.17</v>
      </c>
      <c r="AV65" s="32">
        <v>252716.63923531995</v>
      </c>
      <c r="AW65" s="32"/>
      <c r="AX65" s="34">
        <f t="shared" si="8"/>
        <v>3.7108330871646218</v>
      </c>
      <c r="AY65" s="32">
        <f t="shared" si="5"/>
        <v>2057020.0694578495</v>
      </c>
      <c r="AZ65" s="26">
        <f>27.22*B65*12</f>
        <v>1853747.3279999997</v>
      </c>
      <c r="BA65" s="19" t="e">
        <f>(#REF!+#REF!+I65+#REF!+#REF!+#REF!+#REF!+AX65)*1.06+#REF!</f>
        <v>#REF!</v>
      </c>
      <c r="BB65" s="24"/>
      <c r="BC65" s="20"/>
      <c r="BD65" s="20"/>
      <c r="BE65" s="20"/>
    </row>
    <row r="66" spans="1:57" hidden="1">
      <c r="A66" s="5" t="s">
        <v>82</v>
      </c>
      <c r="B66" s="20">
        <f>B43+B44+B45+B46+B47+B48+B50+B53+B61+B62+B63+B64+B65+B6+B7+B8+B9+B17+B18+B19+B24+B25+B26+B29+B36+B57</f>
        <v>122221.99999999997</v>
      </c>
      <c r="E66" s="42" t="e">
        <f>(2733500+825517)/#REF!</f>
        <v>#REF!</v>
      </c>
      <c r="F66" s="42"/>
      <c r="G66" s="42"/>
      <c r="T66" s="40"/>
      <c r="AJ66" s="44"/>
      <c r="AM66" s="103"/>
      <c r="AN66" s="103"/>
      <c r="AP66" s="104">
        <f>26000/B66</f>
        <v>0.21272765950483552</v>
      </c>
      <c r="AR66" s="39" t="e">
        <f>340683.24/(#REF!-B56)</f>
        <v>#REF!</v>
      </c>
      <c r="AT66" s="43" t="e">
        <f>(408991+19182.92)*4/#REF!</f>
        <v>#REF!</v>
      </c>
      <c r="AV66" s="105" t="e">
        <f>(13555946.46+1062061)/#REF!</f>
        <v>#REF!</v>
      </c>
      <c r="AW66" s="38">
        <v>5803437.8300000001</v>
      </c>
      <c r="AX66" s="41"/>
      <c r="AY66" s="40"/>
      <c r="BC66" s="20"/>
      <c r="BD66" s="20"/>
      <c r="BE66" s="20"/>
    </row>
    <row r="67" spans="1:57" hidden="1">
      <c r="F67" s="42"/>
      <c r="G67" s="44"/>
      <c r="H67" s="40"/>
      <c r="I67" s="44"/>
      <c r="J67" s="44"/>
      <c r="K67" s="40"/>
      <c r="L67" s="55" t="s">
        <v>122</v>
      </c>
      <c r="M67" s="40">
        <v>11500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5"/>
      <c r="AB67" s="45"/>
      <c r="AC67" s="45"/>
      <c r="AD67" s="45"/>
      <c r="AE67" s="45"/>
      <c r="AF67" s="45"/>
      <c r="AG67" s="40"/>
      <c r="AH67" s="40"/>
      <c r="AI67" s="40"/>
      <c r="AK67" s="44"/>
      <c r="AL67" s="44"/>
      <c r="AM67" s="40"/>
      <c r="AN67" s="40"/>
      <c r="AO67" s="106"/>
      <c r="AP67" s="40"/>
      <c r="AV67" s="40"/>
      <c r="AW67" s="40" t="e">
        <f>#REF!-AW66</f>
        <v>#REF!</v>
      </c>
      <c r="AX67" s="44"/>
      <c r="AY67" s="40"/>
    </row>
    <row r="68" spans="1:57" hidden="1">
      <c r="A68" t="s">
        <v>91</v>
      </c>
      <c r="B68" s="20" t="e">
        <f>#REF!</f>
        <v>#REF!</v>
      </c>
      <c r="C68" s="56"/>
      <c r="D68" s="107"/>
      <c r="L68" s="57" t="s">
        <v>123</v>
      </c>
      <c r="M68" s="40">
        <v>18500</v>
      </c>
      <c r="S68" s="40"/>
      <c r="AW68" s="38"/>
      <c r="AX68" s="41"/>
      <c r="AY68" s="40"/>
    </row>
    <row r="69" spans="1:57" hidden="1">
      <c r="A69" t="s">
        <v>92</v>
      </c>
      <c r="B69" s="20" t="e">
        <f>B68-#REF!</f>
        <v>#REF!</v>
      </c>
      <c r="AK69" s="44">
        <f>B23+B27+B28+B39+B41+B44+B40+B37+B43+B46+B22</f>
        <v>95690.79</v>
      </c>
      <c r="AL69" s="44"/>
      <c r="AM69" s="40"/>
      <c r="AN69" s="40"/>
      <c r="AP69" s="40"/>
      <c r="AW69" s="38"/>
      <c r="AX69" s="41"/>
      <c r="AY69" s="40"/>
    </row>
    <row r="70" spans="1:57" hidden="1">
      <c r="AW70" s="38"/>
      <c r="AX70" s="41"/>
      <c r="AY70" s="108"/>
      <c r="AZ70" s="28"/>
      <c r="BA70" s="14"/>
    </row>
    <row r="71" spans="1:57" s="17" customFormat="1" ht="12.6" customHeight="1">
      <c r="A71" s="15" t="s">
        <v>100</v>
      </c>
      <c r="B71" s="29">
        <v>2963.3</v>
      </c>
      <c r="C71" s="52">
        <v>8</v>
      </c>
      <c r="D71" s="34">
        <v>133159.96941437302</v>
      </c>
      <c r="E71" s="37">
        <v>57830.029428600006</v>
      </c>
      <c r="F71" s="109">
        <v>20564.04</v>
      </c>
      <c r="G71" s="49">
        <f t="shared" ref="G71:G83" si="9">COUNT(J71,L71,N71,P71,R71,Y71,AA72,AA71,AA72,AC71,AE71)</f>
        <v>2</v>
      </c>
      <c r="H71" s="110">
        <v>42704.568468125843</v>
      </c>
      <c r="I71" s="34">
        <f t="shared" ref="I71:I84" si="10">H71/B71/12</f>
        <v>1.2009293824487857</v>
      </c>
      <c r="J71" s="59"/>
      <c r="K71" s="32">
        <v>0</v>
      </c>
      <c r="L71" s="59"/>
      <c r="M71" s="59"/>
      <c r="N71" s="59"/>
      <c r="O71" s="59"/>
      <c r="P71" s="59">
        <v>2</v>
      </c>
      <c r="Q71" s="32">
        <v>344</v>
      </c>
      <c r="R71" s="59"/>
      <c r="S71" s="34">
        <v>0</v>
      </c>
      <c r="T71" s="59"/>
      <c r="U71" s="59"/>
      <c r="V71" s="59"/>
      <c r="W71" s="59"/>
      <c r="X71" s="59"/>
      <c r="Y71" s="59">
        <v>4</v>
      </c>
      <c r="Z71" s="59">
        <v>17280</v>
      </c>
      <c r="AA71" s="59"/>
      <c r="AB71" s="59">
        <v>0</v>
      </c>
      <c r="AC71" s="59"/>
      <c r="AD71" s="59">
        <v>0</v>
      </c>
      <c r="AE71" s="59"/>
      <c r="AF71" s="33">
        <v>0</v>
      </c>
      <c r="AG71" s="59"/>
      <c r="AH71" s="59"/>
      <c r="AI71" s="46"/>
      <c r="AJ71" s="111">
        <v>50342.400000000001</v>
      </c>
      <c r="AK71" s="112">
        <v>59174.35</v>
      </c>
      <c r="AL71" s="113">
        <v>1797.1200000000001</v>
      </c>
      <c r="AM71" s="32">
        <v>121302.30940797705</v>
      </c>
      <c r="AN71" s="46"/>
      <c r="AO71" s="59">
        <v>30126.720000000001</v>
      </c>
      <c r="AP71" s="46"/>
      <c r="AQ71" s="99">
        <v>2622.16</v>
      </c>
      <c r="AR71" s="59">
        <v>2622.16</v>
      </c>
      <c r="AS71" s="59">
        <v>0</v>
      </c>
      <c r="AT71" s="33">
        <v>10614.42</v>
      </c>
      <c r="AU71" s="111">
        <v>1522.78</v>
      </c>
      <c r="AV71" s="32">
        <v>81516.919994330892</v>
      </c>
      <c r="AW71" s="46"/>
      <c r="AX71" s="34">
        <f t="shared" ref="AX71:AX84" si="11">AV71/B71/12</f>
        <v>2.2924026140432088</v>
      </c>
      <c r="AY71" s="32" t="e">
        <f>D71+E71+H71+S71+AK71+F71+K71+M71+O71+Q71+Z71+AB71+AD71+AF71+AI71+AJ71+#REF!+AM71+AN71+AO71+AP71+AT71+AU71+AV71+AL71</f>
        <v>#REF!</v>
      </c>
      <c r="AZ71" s="26">
        <f>17.87*B71*12</f>
        <v>635450.05200000014</v>
      </c>
      <c r="BA71" s="19" t="e">
        <f>(#REF!+#REF!+I71+#REF!+#REF!+#REF!+#REF!+AX71)*1.06+#REF!</f>
        <v>#REF!</v>
      </c>
      <c r="BB71" s="16"/>
      <c r="BC71" s="25"/>
      <c r="BD71" s="25"/>
      <c r="BE71" s="25"/>
    </row>
    <row r="72" spans="1:57" s="17" customFormat="1" ht="12.6" customHeight="1">
      <c r="A72" s="15" t="s">
        <v>101</v>
      </c>
      <c r="B72" s="29">
        <v>2647.7</v>
      </c>
      <c r="C72" s="52">
        <v>12</v>
      </c>
      <c r="D72" s="34">
        <v>114891.15518753936</v>
      </c>
      <c r="E72" s="37">
        <v>50888.947566599993</v>
      </c>
      <c r="F72" s="109"/>
      <c r="G72" s="49">
        <f t="shared" si="9"/>
        <v>2</v>
      </c>
      <c r="H72" s="110">
        <v>83754.716246433643</v>
      </c>
      <c r="I72" s="34">
        <f t="shared" si="10"/>
        <v>2.6360840303670372</v>
      </c>
      <c r="J72" s="59"/>
      <c r="K72" s="32">
        <v>0</v>
      </c>
      <c r="L72" s="59">
        <v>2</v>
      </c>
      <c r="M72" s="59">
        <v>23000</v>
      </c>
      <c r="N72" s="59"/>
      <c r="O72" s="59"/>
      <c r="P72" s="59"/>
      <c r="Q72" s="59"/>
      <c r="R72" s="59">
        <v>28</v>
      </c>
      <c r="S72" s="34">
        <v>5600</v>
      </c>
      <c r="T72" s="59"/>
      <c r="U72" s="59"/>
      <c r="V72" s="59"/>
      <c r="W72" s="59"/>
      <c r="X72" s="59"/>
      <c r="Y72" s="59"/>
      <c r="Z72" s="59"/>
      <c r="AA72" s="59"/>
      <c r="AB72" s="59">
        <v>0</v>
      </c>
      <c r="AC72" s="59"/>
      <c r="AD72" s="59">
        <v>0</v>
      </c>
      <c r="AE72" s="59"/>
      <c r="AF72" s="33">
        <v>0</v>
      </c>
      <c r="AG72" s="59"/>
      <c r="AH72" s="59"/>
      <c r="AI72" s="46"/>
      <c r="AJ72" s="111">
        <v>74824.703999999998</v>
      </c>
      <c r="AK72" s="112">
        <v>52742.18</v>
      </c>
      <c r="AL72" s="112">
        <v>2134.08</v>
      </c>
      <c r="AM72" s="32">
        <v>27968.527353120127</v>
      </c>
      <c r="AN72" s="46"/>
      <c r="AO72" s="59">
        <v>30183.599999999999</v>
      </c>
      <c r="AP72" s="46"/>
      <c r="AQ72" s="99">
        <v>3261.54</v>
      </c>
      <c r="AR72" s="59">
        <v>3261.54</v>
      </c>
      <c r="AS72" s="59">
        <v>0</v>
      </c>
      <c r="AT72" s="33">
        <v>12102.98</v>
      </c>
      <c r="AU72" s="111">
        <v>1883.36</v>
      </c>
      <c r="AV72" s="32">
        <v>72835.132814426455</v>
      </c>
      <c r="AW72" s="46"/>
      <c r="AX72" s="34">
        <f t="shared" si="11"/>
        <v>2.2924026140432092</v>
      </c>
      <c r="AY72" s="32" t="e">
        <f>D72+E72+H72+S72+AK72+F72+K72+M72+O72+Q72+Z72+AB72+AD72+AF72+AI72+AJ72+#REF!+AM72+AN72+AO72+AP72+AT72+AU72+AV72+AL72</f>
        <v>#REF!</v>
      </c>
      <c r="AZ72" s="26">
        <f t="shared" ref="AZ72:AZ81" si="12">17.03*B72*12</f>
        <v>541083.97199999995</v>
      </c>
      <c r="BA72" s="19" t="e">
        <f>(#REF!+#REF!+I72+#REF!+#REF!+#REF!+#REF!+AX72)*1.06+#REF!</f>
        <v>#REF!</v>
      </c>
      <c r="BB72" s="16"/>
      <c r="BC72" s="25"/>
      <c r="BD72" s="25"/>
      <c r="BE72" s="25"/>
    </row>
    <row r="73" spans="1:57" s="17" customFormat="1" ht="12.6" customHeight="1">
      <c r="A73" s="15" t="s">
        <v>102</v>
      </c>
      <c r="B73" s="29">
        <v>2580.3000000000002</v>
      </c>
      <c r="C73" s="52">
        <v>9</v>
      </c>
      <c r="D73" s="34">
        <v>111496.24860550962</v>
      </c>
      <c r="E73" s="37">
        <v>49593.515657399999</v>
      </c>
      <c r="F73" s="109"/>
      <c r="G73" s="49">
        <f t="shared" si="9"/>
        <v>2</v>
      </c>
      <c r="H73" s="110">
        <v>20304.346538759186</v>
      </c>
      <c r="I73" s="34">
        <f t="shared" si="10"/>
        <v>0.65574889672903625</v>
      </c>
      <c r="J73" s="59"/>
      <c r="K73" s="32">
        <v>0</v>
      </c>
      <c r="L73" s="59"/>
      <c r="M73" s="59"/>
      <c r="N73" s="59"/>
      <c r="O73" s="59"/>
      <c r="P73" s="59"/>
      <c r="Q73" s="59"/>
      <c r="R73" s="59"/>
      <c r="S73" s="34">
        <v>0</v>
      </c>
      <c r="T73" s="59"/>
      <c r="U73" s="59"/>
      <c r="V73" s="59"/>
      <c r="W73" s="59"/>
      <c r="X73" s="59"/>
      <c r="Y73" s="59"/>
      <c r="Z73" s="59"/>
      <c r="AA73" s="59"/>
      <c r="AB73" s="59">
        <v>0</v>
      </c>
      <c r="AC73" s="59"/>
      <c r="AD73" s="59">
        <v>0</v>
      </c>
      <c r="AE73" s="59"/>
      <c r="AF73" s="33">
        <v>0</v>
      </c>
      <c r="AG73" s="59"/>
      <c r="AH73" s="59"/>
      <c r="AI73" s="46"/>
      <c r="AJ73" s="111">
        <v>75699.072</v>
      </c>
      <c r="AK73" s="112">
        <v>51399.58</v>
      </c>
      <c r="AL73" s="112">
        <v>2171.52</v>
      </c>
      <c r="AM73" s="32">
        <v>93256.548785004285</v>
      </c>
      <c r="AN73" s="46"/>
      <c r="AO73" s="59">
        <v>30147.119999999999</v>
      </c>
      <c r="AP73" s="46"/>
      <c r="AQ73" s="99">
        <v>3241.42</v>
      </c>
      <c r="AR73" s="59">
        <v>3241.42</v>
      </c>
      <c r="AS73" s="59">
        <v>0</v>
      </c>
      <c r="AT73" s="33">
        <v>12449.29</v>
      </c>
      <c r="AU73" s="111">
        <v>3063.02</v>
      </c>
      <c r="AV73" s="32">
        <v>70981.037580188306</v>
      </c>
      <c r="AW73" s="46"/>
      <c r="AX73" s="34">
        <f t="shared" si="11"/>
        <v>2.2924026140432088</v>
      </c>
      <c r="AY73" s="32" t="e">
        <f>D73+E73+H73+S73+AK73+F73+K73+M73+O73+Q73+Z73+AB73+AD73+AF73+AI73+AJ73+#REF!+AM73+AN73+AO73+AP73+AT73+AU73+AV73+AL73</f>
        <v>#REF!</v>
      </c>
      <c r="AZ73" s="26">
        <f t="shared" si="12"/>
        <v>527310.10800000001</v>
      </c>
      <c r="BA73" s="19" t="e">
        <f>(#REF!+#REF!+I73+#REF!+#REF!+#REF!+#REF!+AX73)*1.06+#REF!</f>
        <v>#REF!</v>
      </c>
      <c r="BB73" s="16"/>
      <c r="BC73" s="25"/>
      <c r="BD73" s="25"/>
      <c r="BE73" s="25"/>
    </row>
    <row r="74" spans="1:57" s="17" customFormat="1" ht="12.6" customHeight="1">
      <c r="A74" s="15" t="s">
        <v>103</v>
      </c>
      <c r="B74" s="29">
        <v>3533.2000000000003</v>
      </c>
      <c r="C74" s="52">
        <v>10</v>
      </c>
      <c r="D74" s="34">
        <v>152903.51823779661</v>
      </c>
      <c r="E74" s="37">
        <v>67908.308925600009</v>
      </c>
      <c r="F74" s="109"/>
      <c r="G74" s="49">
        <f t="shared" si="9"/>
        <v>3</v>
      </c>
      <c r="H74" s="110">
        <v>87367.704023076381</v>
      </c>
      <c r="I74" s="34">
        <f t="shared" si="10"/>
        <v>2.0606368170279157</v>
      </c>
      <c r="J74" s="59"/>
      <c r="K74" s="32">
        <v>0</v>
      </c>
      <c r="L74" s="59">
        <v>2</v>
      </c>
      <c r="M74" s="59">
        <v>23000</v>
      </c>
      <c r="N74" s="59"/>
      <c r="O74" s="59"/>
      <c r="P74" s="59"/>
      <c r="Q74" s="59"/>
      <c r="R74" s="59">
        <v>15</v>
      </c>
      <c r="S74" s="34">
        <v>3000</v>
      </c>
      <c r="T74" s="59"/>
      <c r="U74" s="59"/>
      <c r="V74" s="59"/>
      <c r="W74" s="59"/>
      <c r="X74" s="59"/>
      <c r="Y74" s="59"/>
      <c r="Z74" s="59"/>
      <c r="AA74" s="59">
        <v>25</v>
      </c>
      <c r="AB74" s="59">
        <v>2150</v>
      </c>
      <c r="AC74" s="59"/>
      <c r="AD74" s="59">
        <v>0</v>
      </c>
      <c r="AE74" s="59"/>
      <c r="AF74" s="33">
        <v>0</v>
      </c>
      <c r="AG74" s="59"/>
      <c r="AH74" s="59"/>
      <c r="AI74" s="46"/>
      <c r="AJ74" s="111">
        <v>88205.184000000008</v>
      </c>
      <c r="AK74" s="112">
        <v>70389.31</v>
      </c>
      <c r="AL74" s="112">
        <v>2658.2400000000002</v>
      </c>
      <c r="AM74" s="32">
        <v>37322.349164196865</v>
      </c>
      <c r="AN74" s="46"/>
      <c r="AO74" s="59">
        <v>40241.760000000002</v>
      </c>
      <c r="AP74" s="46"/>
      <c r="AQ74" s="99">
        <v>4339.1400000000003</v>
      </c>
      <c r="AR74" s="59">
        <v>4339.1400000000003</v>
      </c>
      <c r="AS74" s="59">
        <v>0</v>
      </c>
      <c r="AT74" s="33">
        <v>15838.329999999998</v>
      </c>
      <c r="AU74" s="111">
        <v>1327.02</v>
      </c>
      <c r="AV74" s="32">
        <v>97194.202991249593</v>
      </c>
      <c r="AW74" s="46"/>
      <c r="AX74" s="34">
        <f t="shared" si="11"/>
        <v>2.2924026140432088</v>
      </c>
      <c r="AY74" s="32">
        <f t="shared" ref="AY74:AY84" si="13">D74+E74+H74+S74+AK74+F74+K74+M74+O74+Q74+Z74+AB74+AD74+AF74+AI74+AJ74+AN85+AM74+AN74+AO74+AP74+AT74+AU74+AV74+AL74</f>
        <v>689505.92734191951</v>
      </c>
      <c r="AZ74" s="26">
        <f t="shared" si="12"/>
        <v>722044.75200000009</v>
      </c>
      <c r="BA74" s="19" t="e">
        <f>(#REF!+#REF!+I74+#REF!+#REF!+#REF!+#REF!+AX74)*1.06+#REF!</f>
        <v>#REF!</v>
      </c>
      <c r="BB74" s="16"/>
      <c r="BC74" s="25"/>
      <c r="BD74" s="25"/>
      <c r="BE74" s="25"/>
    </row>
    <row r="75" spans="1:57" s="17" customFormat="1" ht="12.6" customHeight="1">
      <c r="A75" s="15" t="s">
        <v>104</v>
      </c>
      <c r="B75" s="29">
        <v>2568.6999999999998</v>
      </c>
      <c r="C75" s="52">
        <v>11</v>
      </c>
      <c r="D75" s="34">
        <v>144231.1909267033</v>
      </c>
      <c r="E75" s="37">
        <v>49370.562984600001</v>
      </c>
      <c r="F75" s="109"/>
      <c r="G75" s="49">
        <f t="shared" si="9"/>
        <v>1</v>
      </c>
      <c r="H75" s="110">
        <v>28133.066292334504</v>
      </c>
      <c r="I75" s="34">
        <f t="shared" si="10"/>
        <v>0.91268820455011312</v>
      </c>
      <c r="J75" s="59"/>
      <c r="K75" s="32">
        <v>0</v>
      </c>
      <c r="L75" s="59"/>
      <c r="M75" s="59"/>
      <c r="N75" s="59"/>
      <c r="O75" s="59"/>
      <c r="P75" s="59"/>
      <c r="Q75" s="59"/>
      <c r="R75" s="59">
        <v>18</v>
      </c>
      <c r="S75" s="34">
        <v>3600</v>
      </c>
      <c r="T75" s="59"/>
      <c r="U75" s="59"/>
      <c r="V75" s="59"/>
      <c r="W75" s="59"/>
      <c r="X75" s="59"/>
      <c r="Y75" s="59"/>
      <c r="Z75" s="59"/>
      <c r="AA75" s="59"/>
      <c r="AB75" s="59">
        <v>0</v>
      </c>
      <c r="AC75" s="59"/>
      <c r="AD75" s="59">
        <v>0</v>
      </c>
      <c r="AE75" s="59"/>
      <c r="AF75" s="33">
        <v>0</v>
      </c>
      <c r="AG75" s="59"/>
      <c r="AH75" s="59"/>
      <c r="AI75" s="46"/>
      <c r="AJ75" s="111">
        <v>64809.216</v>
      </c>
      <c r="AK75" s="112">
        <v>51166.51</v>
      </c>
      <c r="AL75" s="112">
        <v>2246.4</v>
      </c>
      <c r="AM75" s="32">
        <v>27134.024770313728</v>
      </c>
      <c r="AN75" s="46"/>
      <c r="AO75" s="59">
        <v>30142.32</v>
      </c>
      <c r="AP75" s="46"/>
      <c r="AQ75" s="99">
        <v>3254.36</v>
      </c>
      <c r="AR75" s="59">
        <v>3254.36</v>
      </c>
      <c r="AS75" s="59">
        <v>0</v>
      </c>
      <c r="AT75" s="33">
        <v>12665.25</v>
      </c>
      <c r="AU75" s="111">
        <v>4344.8900000000003</v>
      </c>
      <c r="AV75" s="32">
        <v>70661.935136313477</v>
      </c>
      <c r="AW75" s="46"/>
      <c r="AX75" s="34">
        <f t="shared" si="11"/>
        <v>2.2924026140432088</v>
      </c>
      <c r="AY75" s="32">
        <f t="shared" si="13"/>
        <v>488505.36611026502</v>
      </c>
      <c r="AZ75" s="26">
        <f t="shared" si="12"/>
        <v>524939.53200000001</v>
      </c>
      <c r="BA75" s="19" t="e">
        <f>(#REF!+#REF!+I75+#REF!+#REF!+#REF!+#REF!+AX75)*1.06+#REF!</f>
        <v>#REF!</v>
      </c>
      <c r="BB75" s="16"/>
      <c r="BC75" s="25"/>
      <c r="BD75" s="25"/>
      <c r="BE75" s="25"/>
    </row>
    <row r="76" spans="1:57" s="17" customFormat="1" ht="12.6" customHeight="1">
      <c r="A76" s="15" t="s">
        <v>105</v>
      </c>
      <c r="B76" s="29">
        <v>3554</v>
      </c>
      <c r="C76" s="52">
        <v>13</v>
      </c>
      <c r="D76" s="34">
        <v>183956.48069634585</v>
      </c>
      <c r="E76" s="37">
        <v>68308.086132000011</v>
      </c>
      <c r="F76" s="109"/>
      <c r="G76" s="49">
        <f t="shared" si="9"/>
        <v>1</v>
      </c>
      <c r="H76" s="110">
        <v>37646.378947699937</v>
      </c>
      <c r="I76" s="34">
        <f t="shared" si="10"/>
        <v>0.88272319798583609</v>
      </c>
      <c r="J76" s="59"/>
      <c r="K76" s="32">
        <v>0</v>
      </c>
      <c r="L76" s="59"/>
      <c r="M76" s="59"/>
      <c r="N76" s="59"/>
      <c r="O76" s="59"/>
      <c r="P76" s="59"/>
      <c r="Q76" s="59"/>
      <c r="R76" s="59">
        <v>22</v>
      </c>
      <c r="S76" s="34">
        <v>4400</v>
      </c>
      <c r="T76" s="59"/>
      <c r="U76" s="59"/>
      <c r="V76" s="59"/>
      <c r="W76" s="59"/>
      <c r="X76" s="59"/>
      <c r="Y76" s="59"/>
      <c r="Z76" s="59"/>
      <c r="AA76" s="59"/>
      <c r="AB76" s="59">
        <v>0</v>
      </c>
      <c r="AC76" s="59"/>
      <c r="AD76" s="59">
        <v>0</v>
      </c>
      <c r="AE76" s="59"/>
      <c r="AF76" s="33">
        <v>0</v>
      </c>
      <c r="AG76" s="59"/>
      <c r="AH76" s="59"/>
      <c r="AI76" s="46"/>
      <c r="AJ76" s="111">
        <v>81581.184000000008</v>
      </c>
      <c r="AK76" s="112">
        <v>70795.679999999993</v>
      </c>
      <c r="AL76" s="112">
        <v>2957.76</v>
      </c>
      <c r="AM76" s="32">
        <v>114342.06353536615</v>
      </c>
      <c r="AN76" s="46"/>
      <c r="AO76" s="59">
        <v>40214.160000000003</v>
      </c>
      <c r="AP76" s="46"/>
      <c r="AQ76" s="99">
        <v>4339.1400000000003</v>
      </c>
      <c r="AR76" s="59">
        <v>4339.1400000000003</v>
      </c>
      <c r="AS76" s="59">
        <v>0</v>
      </c>
      <c r="AT76" s="33">
        <v>17776.940000000002</v>
      </c>
      <c r="AU76" s="111">
        <v>4871.38</v>
      </c>
      <c r="AV76" s="32">
        <v>97766.38668371478</v>
      </c>
      <c r="AW76" s="46"/>
      <c r="AX76" s="34">
        <f t="shared" si="11"/>
        <v>2.2924026140432088</v>
      </c>
      <c r="AY76" s="32">
        <f t="shared" si="13"/>
        <v>724616.49999512674</v>
      </c>
      <c r="AZ76" s="26">
        <f t="shared" si="12"/>
        <v>726295.44000000006</v>
      </c>
      <c r="BA76" s="19" t="e">
        <f>(#REF!+#REF!+I76+#REF!+#REF!+#REF!+#REF!+AX76)*1.06+#REF!</f>
        <v>#REF!</v>
      </c>
      <c r="BB76" s="16"/>
      <c r="BC76" s="25"/>
      <c r="BD76" s="25"/>
      <c r="BE76" s="25"/>
    </row>
    <row r="77" spans="1:57" s="17" customFormat="1" ht="12.6" customHeight="1">
      <c r="A77" s="15" t="s">
        <v>106</v>
      </c>
      <c r="B77" s="29">
        <v>3490.7</v>
      </c>
      <c r="C77" s="52">
        <v>11</v>
      </c>
      <c r="D77" s="34">
        <v>178608.93098354936</v>
      </c>
      <c r="E77" s="37">
        <v>67098.705458399985</v>
      </c>
      <c r="F77" s="109">
        <v>35109.18</v>
      </c>
      <c r="G77" s="49">
        <f t="shared" si="9"/>
        <v>2</v>
      </c>
      <c r="H77" s="110">
        <v>41926.672085744562</v>
      </c>
      <c r="I77" s="34">
        <f t="shared" si="10"/>
        <v>1.0009136678828641</v>
      </c>
      <c r="J77" s="59"/>
      <c r="K77" s="32">
        <v>0</v>
      </c>
      <c r="L77" s="59"/>
      <c r="M77" s="59"/>
      <c r="N77" s="59"/>
      <c r="O77" s="59"/>
      <c r="P77" s="59"/>
      <c r="Q77" s="59"/>
      <c r="R77" s="59">
        <v>32</v>
      </c>
      <c r="S77" s="34">
        <v>6400</v>
      </c>
      <c r="T77" s="59"/>
      <c r="U77" s="59"/>
      <c r="V77" s="59"/>
      <c r="W77" s="59"/>
      <c r="X77" s="59"/>
      <c r="Y77" s="59"/>
      <c r="Z77" s="59"/>
      <c r="AA77" s="59"/>
      <c r="AB77" s="59">
        <v>0</v>
      </c>
      <c r="AC77" s="59">
        <v>4</v>
      </c>
      <c r="AD77" s="59">
        <v>344</v>
      </c>
      <c r="AE77" s="59"/>
      <c r="AF77" s="33">
        <v>0</v>
      </c>
      <c r="AG77" s="59"/>
      <c r="AH77" s="59"/>
      <c r="AI77" s="46"/>
      <c r="AJ77" s="111">
        <v>75487.103999999992</v>
      </c>
      <c r="AK77" s="112">
        <v>69534.740000000005</v>
      </c>
      <c r="AL77" s="112">
        <v>2995.2</v>
      </c>
      <c r="AM77" s="32">
        <v>36873.409800028865</v>
      </c>
      <c r="AN77" s="46"/>
      <c r="AO77" s="59">
        <v>40213.440000000002</v>
      </c>
      <c r="AP77" s="46"/>
      <c r="AQ77" s="99">
        <v>4217.01</v>
      </c>
      <c r="AR77" s="59">
        <v>4217.01</v>
      </c>
      <c r="AS77" s="59">
        <v>0</v>
      </c>
      <c r="AT77" s="33">
        <v>18680.39</v>
      </c>
      <c r="AU77" s="111">
        <v>2002.23</v>
      </c>
      <c r="AV77" s="32">
        <v>96025.077658087554</v>
      </c>
      <c r="AW77" s="46"/>
      <c r="AX77" s="34">
        <f t="shared" si="11"/>
        <v>2.2924026140432088</v>
      </c>
      <c r="AY77" s="32">
        <f t="shared" si="13"/>
        <v>671299.07998581021</v>
      </c>
      <c r="AZ77" s="26">
        <f>17.87*B77*12</f>
        <v>748545.70799999998</v>
      </c>
      <c r="BA77" s="19" t="e">
        <f>(#REF!+#REF!+I77+#REF!+#REF!+#REF!+#REF!+AX77)*1.06+#REF!</f>
        <v>#REF!</v>
      </c>
      <c r="BB77" s="16"/>
      <c r="BC77" s="25"/>
      <c r="BD77" s="25"/>
      <c r="BE77" s="25"/>
    </row>
    <row r="78" spans="1:57" s="17" customFormat="1" ht="12.6" customHeight="1">
      <c r="A78" s="15" t="s">
        <v>107</v>
      </c>
      <c r="B78" s="29">
        <v>3556.9</v>
      </c>
      <c r="C78" s="52">
        <v>10</v>
      </c>
      <c r="D78" s="34">
        <v>162284.90111604743</v>
      </c>
      <c r="E78" s="37">
        <v>68364.2373678</v>
      </c>
      <c r="F78" s="109">
        <v>35849.160000000003</v>
      </c>
      <c r="G78" s="49">
        <f t="shared" si="9"/>
        <v>2</v>
      </c>
      <c r="H78" s="110">
        <v>39807.599009306105</v>
      </c>
      <c r="I78" s="34">
        <f t="shared" si="10"/>
        <v>0.93263794805650291</v>
      </c>
      <c r="J78" s="59"/>
      <c r="K78" s="32">
        <v>0</v>
      </c>
      <c r="L78" s="59"/>
      <c r="M78" s="59"/>
      <c r="N78" s="59"/>
      <c r="O78" s="59"/>
      <c r="P78" s="59"/>
      <c r="Q78" s="59"/>
      <c r="R78" s="59">
        <v>26</v>
      </c>
      <c r="S78" s="34">
        <v>5200</v>
      </c>
      <c r="T78" s="59"/>
      <c r="U78" s="59"/>
      <c r="V78" s="59"/>
      <c r="W78" s="59"/>
      <c r="X78" s="59"/>
      <c r="Y78" s="59"/>
      <c r="Z78" s="59"/>
      <c r="AA78" s="59"/>
      <c r="AB78" s="59">
        <v>0</v>
      </c>
      <c r="AC78" s="59">
        <v>4</v>
      </c>
      <c r="AD78" s="59">
        <v>344</v>
      </c>
      <c r="AE78" s="59"/>
      <c r="AF78" s="33">
        <v>0</v>
      </c>
      <c r="AG78" s="59"/>
      <c r="AH78" s="59"/>
      <c r="AI78" s="46"/>
      <c r="AJ78" s="111">
        <v>124266.23999999999</v>
      </c>
      <c r="AK78" s="112">
        <v>70853.45</v>
      </c>
      <c r="AL78" s="112">
        <v>2995.2</v>
      </c>
      <c r="AM78" s="32">
        <v>90372.703539038775</v>
      </c>
      <c r="AN78" s="46"/>
      <c r="AO78" s="59">
        <v>40251.360000000001</v>
      </c>
      <c r="AP78" s="46"/>
      <c r="AQ78" s="99">
        <v>4339.1400000000003</v>
      </c>
      <c r="AR78" s="59">
        <v>4339.1400000000003</v>
      </c>
      <c r="AS78" s="59">
        <v>0</v>
      </c>
      <c r="AT78" s="33">
        <v>17590.72</v>
      </c>
      <c r="AU78" s="111">
        <v>2585.1</v>
      </c>
      <c r="AV78" s="32">
        <v>97846.162294683483</v>
      </c>
      <c r="AW78" s="46"/>
      <c r="AX78" s="34">
        <f t="shared" si="11"/>
        <v>2.2924026140432088</v>
      </c>
      <c r="AY78" s="32">
        <f t="shared" si="13"/>
        <v>758610.8333268757</v>
      </c>
      <c r="AZ78" s="26">
        <f>17.87*B78*12</f>
        <v>762741.63600000006</v>
      </c>
      <c r="BA78" s="19" t="e">
        <f>(#REF!+#REF!+I78+#REF!+#REF!+#REF!+#REF!+AX78)*1.06+#REF!</f>
        <v>#REF!</v>
      </c>
      <c r="BB78" s="16"/>
      <c r="BC78" s="25"/>
      <c r="BD78" s="25"/>
      <c r="BE78" s="25"/>
    </row>
    <row r="79" spans="1:57" s="17" customFormat="1" ht="12.6" customHeight="1">
      <c r="A79" s="15" t="s">
        <v>108</v>
      </c>
      <c r="B79" s="29">
        <v>3550.2</v>
      </c>
      <c r="C79" s="52">
        <v>12</v>
      </c>
      <c r="D79" s="34">
        <v>187598.3419394955</v>
      </c>
      <c r="E79" s="37">
        <v>68278.363322400008</v>
      </c>
      <c r="F79" s="109">
        <v>35325.480000000003</v>
      </c>
      <c r="G79" s="49">
        <f t="shared" si="9"/>
        <v>2</v>
      </c>
      <c r="H79" s="110">
        <v>33594.876798009085</v>
      </c>
      <c r="I79" s="34">
        <f t="shared" si="10"/>
        <v>0.78856770505908325</v>
      </c>
      <c r="J79" s="59"/>
      <c r="K79" s="32">
        <v>0</v>
      </c>
      <c r="L79" s="59"/>
      <c r="M79" s="59"/>
      <c r="N79" s="59"/>
      <c r="O79" s="59"/>
      <c r="P79" s="59"/>
      <c r="Q79" s="59"/>
      <c r="R79" s="59">
        <v>12</v>
      </c>
      <c r="S79" s="34">
        <v>2400</v>
      </c>
      <c r="T79" s="59"/>
      <c r="U79" s="59"/>
      <c r="V79" s="59"/>
      <c r="W79" s="59"/>
      <c r="X79" s="59"/>
      <c r="Y79" s="59"/>
      <c r="Z79" s="59"/>
      <c r="AA79" s="59"/>
      <c r="AB79" s="59">
        <v>0</v>
      </c>
      <c r="AC79" s="59">
        <v>4</v>
      </c>
      <c r="AD79" s="59">
        <v>344</v>
      </c>
      <c r="AE79" s="59"/>
      <c r="AF79" s="33">
        <v>0</v>
      </c>
      <c r="AG79" s="59"/>
      <c r="AH79" s="59"/>
      <c r="AI79" s="46"/>
      <c r="AJ79" s="111">
        <v>136692.864</v>
      </c>
      <c r="AK79" s="112">
        <v>70729.94</v>
      </c>
      <c r="AL79" s="112">
        <v>2957.76</v>
      </c>
      <c r="AM79" s="32">
        <v>37501.924909864058</v>
      </c>
      <c r="AN79" s="46"/>
      <c r="AO79" s="59">
        <v>39593.040000000001</v>
      </c>
      <c r="AP79" s="46"/>
      <c r="AQ79" s="99">
        <v>4288.8500000000004</v>
      </c>
      <c r="AR79" s="59">
        <v>4288.8500000000004</v>
      </c>
      <c r="AS79" s="59">
        <v>0</v>
      </c>
      <c r="AT79" s="33">
        <v>18009.32</v>
      </c>
      <c r="AU79" s="111">
        <v>2790.37</v>
      </c>
      <c r="AV79" s="32">
        <v>97661.853124514397</v>
      </c>
      <c r="AW79" s="46"/>
      <c r="AX79" s="34">
        <f t="shared" si="11"/>
        <v>2.2924026140432088</v>
      </c>
      <c r="AY79" s="32">
        <f t="shared" si="13"/>
        <v>733478.13409428298</v>
      </c>
      <c r="AZ79" s="26">
        <f>17.87*B79*12</f>
        <v>761304.88800000004</v>
      </c>
      <c r="BA79" s="19" t="e">
        <f>(#REF!+#REF!+I79+#REF!+#REF!+#REF!+#REF!+AX79)*1.06+#REF!</f>
        <v>#REF!</v>
      </c>
      <c r="BB79" s="16"/>
      <c r="BC79" s="25"/>
      <c r="BD79" s="25"/>
      <c r="BE79" s="25"/>
    </row>
    <row r="80" spans="1:57" s="17" customFormat="1" ht="12.6" customHeight="1">
      <c r="A80" s="15" t="s">
        <v>109</v>
      </c>
      <c r="B80" s="29">
        <v>3188.2</v>
      </c>
      <c r="C80" s="52">
        <v>13</v>
      </c>
      <c r="D80" s="34">
        <v>173730.30499743661</v>
      </c>
      <c r="E80" s="37">
        <v>61853.356382400001</v>
      </c>
      <c r="F80" s="114">
        <v>26013</v>
      </c>
      <c r="G80" s="49">
        <f t="shared" si="9"/>
        <v>1</v>
      </c>
      <c r="H80" s="110">
        <v>25466.303590618154</v>
      </c>
      <c r="I80" s="34">
        <f t="shared" si="10"/>
        <v>0.66563953512478713</v>
      </c>
      <c r="J80" s="59"/>
      <c r="K80" s="32">
        <v>0</v>
      </c>
      <c r="L80" s="59"/>
      <c r="M80" s="59"/>
      <c r="N80" s="59"/>
      <c r="O80" s="59"/>
      <c r="P80" s="59"/>
      <c r="Q80" s="59"/>
      <c r="R80" s="59"/>
      <c r="S80" s="34">
        <v>0</v>
      </c>
      <c r="T80" s="59"/>
      <c r="U80" s="59"/>
      <c r="V80" s="59"/>
      <c r="W80" s="59"/>
      <c r="X80" s="59"/>
      <c r="Y80" s="59"/>
      <c r="Z80" s="59"/>
      <c r="AA80" s="59"/>
      <c r="AB80" s="59">
        <v>0</v>
      </c>
      <c r="AC80" s="59">
        <v>4</v>
      </c>
      <c r="AD80" s="59">
        <v>344</v>
      </c>
      <c r="AE80" s="59"/>
      <c r="AF80" s="33">
        <v>0</v>
      </c>
      <c r="AG80" s="59"/>
      <c r="AH80" s="59"/>
      <c r="AI80" s="46"/>
      <c r="AJ80" s="111">
        <v>94696.703999999998</v>
      </c>
      <c r="AK80" s="112">
        <v>51407.54</v>
      </c>
      <c r="AL80" s="112">
        <v>2396.1600000000003</v>
      </c>
      <c r="AM80" s="32">
        <v>87677.998796244879</v>
      </c>
      <c r="AN80" s="46">
        <v>12500</v>
      </c>
      <c r="AO80" s="59">
        <v>39447.839999999997</v>
      </c>
      <c r="AP80" s="46"/>
      <c r="AQ80" s="99">
        <v>3505.8</v>
      </c>
      <c r="AR80" s="59">
        <v>3505.8</v>
      </c>
      <c r="AS80" s="59">
        <v>0</v>
      </c>
      <c r="AT80" s="33">
        <v>12246.97</v>
      </c>
      <c r="AU80" s="111">
        <v>2566.48</v>
      </c>
      <c r="AV80" s="32">
        <v>87703.656169110705</v>
      </c>
      <c r="AW80" s="46"/>
      <c r="AX80" s="34">
        <f t="shared" si="11"/>
        <v>2.2924026140432092</v>
      </c>
      <c r="AY80" s="32">
        <f t="shared" si="13"/>
        <v>678050.31393581023</v>
      </c>
      <c r="AZ80" s="26">
        <f>17.87*B80*12</f>
        <v>683677.60800000001</v>
      </c>
      <c r="BA80" s="19" t="e">
        <f>(#REF!+#REF!+I80+#REF!+#REF!+#REF!+#REF!+AX80)*1.06+#REF!</f>
        <v>#REF!</v>
      </c>
      <c r="BB80" s="16"/>
      <c r="BC80" s="25"/>
      <c r="BD80" s="25"/>
      <c r="BE80" s="25"/>
    </row>
    <row r="81" spans="1:57" s="17" customFormat="1" ht="12.6" customHeight="1">
      <c r="A81" s="15" t="s">
        <v>110</v>
      </c>
      <c r="B81" s="29">
        <v>5804.5999999999995</v>
      </c>
      <c r="C81" s="52">
        <v>11</v>
      </c>
      <c r="D81" s="34">
        <v>246259.8637930245</v>
      </c>
      <c r="E81" s="37">
        <v>111564.74866680001</v>
      </c>
      <c r="F81" s="109"/>
      <c r="G81" s="49">
        <f t="shared" si="9"/>
        <v>2</v>
      </c>
      <c r="H81" s="110">
        <v>62774.720551440361</v>
      </c>
      <c r="I81" s="34">
        <f t="shared" si="10"/>
        <v>0.90122087872033052</v>
      </c>
      <c r="J81" s="59"/>
      <c r="K81" s="32">
        <v>0</v>
      </c>
      <c r="L81" s="59"/>
      <c r="M81" s="59"/>
      <c r="N81" s="59"/>
      <c r="O81" s="59"/>
      <c r="P81" s="59"/>
      <c r="Q81" s="59"/>
      <c r="R81" s="59">
        <v>38</v>
      </c>
      <c r="S81" s="34">
        <v>7600</v>
      </c>
      <c r="T81" s="59"/>
      <c r="U81" s="59"/>
      <c r="V81" s="59"/>
      <c r="W81" s="59"/>
      <c r="X81" s="59"/>
      <c r="Y81" s="59"/>
      <c r="Z81" s="59"/>
      <c r="AA81" s="59"/>
      <c r="AB81" s="59">
        <v>0</v>
      </c>
      <c r="AC81" s="59">
        <v>4</v>
      </c>
      <c r="AD81" s="59">
        <v>344</v>
      </c>
      <c r="AE81" s="59"/>
      <c r="AF81" s="33">
        <v>0</v>
      </c>
      <c r="AG81" s="59"/>
      <c r="AH81" s="59"/>
      <c r="AI81" s="46"/>
      <c r="AJ81" s="111">
        <v>213769.728</v>
      </c>
      <c r="AK81" s="112">
        <v>69534.740000000005</v>
      </c>
      <c r="AL81" s="112">
        <v>4343.04</v>
      </c>
      <c r="AM81" s="32">
        <v>181315.89452351895</v>
      </c>
      <c r="AN81" s="46"/>
      <c r="AO81" s="59">
        <v>59326.8</v>
      </c>
      <c r="AP81" s="46"/>
      <c r="AQ81" s="99">
        <v>6465.61</v>
      </c>
      <c r="AR81" s="59">
        <v>6465.61</v>
      </c>
      <c r="AS81" s="59">
        <v>0</v>
      </c>
      <c r="AT81" s="33">
        <v>20695.169999999998</v>
      </c>
      <c r="AU81" s="111">
        <v>6842.98</v>
      </c>
      <c r="AV81" s="32">
        <v>159677.76256170249</v>
      </c>
      <c r="AW81" s="46"/>
      <c r="AX81" s="34">
        <f t="shared" si="11"/>
        <v>2.2924026140432088</v>
      </c>
      <c r="AY81" s="32">
        <f t="shared" si="13"/>
        <v>1144049.4480964865</v>
      </c>
      <c r="AZ81" s="26">
        <f t="shared" si="12"/>
        <v>1186228.0560000001</v>
      </c>
      <c r="BA81" s="19" t="e">
        <f>(#REF!+#REF!+I81+#REF!+#REF!+#REF!+#REF!+AX81)*1.06+#REF!</f>
        <v>#REF!</v>
      </c>
      <c r="BB81" s="16"/>
      <c r="BC81" s="25"/>
      <c r="BD81" s="25"/>
      <c r="BE81" s="25"/>
    </row>
    <row r="82" spans="1:57" s="17" customFormat="1" ht="12.6" customHeight="1">
      <c r="A82" s="15" t="s">
        <v>111</v>
      </c>
      <c r="B82" s="29">
        <v>4525.7</v>
      </c>
      <c r="C82" s="52">
        <v>13</v>
      </c>
      <c r="D82" s="34">
        <v>197854.09070462926</v>
      </c>
      <c r="E82" s="37">
        <v>86986.505291400012</v>
      </c>
      <c r="F82" s="109">
        <v>45594.720000000001</v>
      </c>
      <c r="G82" s="49">
        <f t="shared" si="9"/>
        <v>3</v>
      </c>
      <c r="H82" s="110">
        <v>89640.273383119187</v>
      </c>
      <c r="I82" s="34">
        <f t="shared" si="10"/>
        <v>1.650578425862651</v>
      </c>
      <c r="J82" s="59">
        <v>70</v>
      </c>
      <c r="K82" s="32">
        <v>14700</v>
      </c>
      <c r="L82" s="59"/>
      <c r="M82" s="59"/>
      <c r="N82" s="59"/>
      <c r="O82" s="59"/>
      <c r="P82" s="59"/>
      <c r="Q82" s="59"/>
      <c r="R82" s="59">
        <v>48</v>
      </c>
      <c r="S82" s="34">
        <v>9600</v>
      </c>
      <c r="T82" s="59"/>
      <c r="U82" s="59"/>
      <c r="V82" s="59"/>
      <c r="W82" s="59"/>
      <c r="X82" s="59"/>
      <c r="Y82" s="59"/>
      <c r="Z82" s="59"/>
      <c r="AA82" s="59"/>
      <c r="AB82" s="59">
        <v>0</v>
      </c>
      <c r="AC82" s="59">
        <v>6</v>
      </c>
      <c r="AD82" s="59">
        <v>516</v>
      </c>
      <c r="AE82" s="59"/>
      <c r="AF82" s="33">
        <v>0</v>
      </c>
      <c r="AG82" s="59"/>
      <c r="AH82" s="59"/>
      <c r="AI82" s="46"/>
      <c r="AJ82" s="111">
        <v>188174.592</v>
      </c>
      <c r="AK82" s="112">
        <v>90120.07</v>
      </c>
      <c r="AL82" s="112">
        <v>3744</v>
      </c>
      <c r="AM82" s="32">
        <v>47806.44890388479</v>
      </c>
      <c r="AN82" s="46"/>
      <c r="AO82" s="59">
        <v>50357.52</v>
      </c>
      <c r="AP82" s="46"/>
      <c r="AQ82" s="99">
        <v>5423.93</v>
      </c>
      <c r="AR82" s="59">
        <v>5423.93</v>
      </c>
      <c r="AS82" s="59">
        <v>0</v>
      </c>
      <c r="AT82" s="33">
        <v>23540.720000000001</v>
      </c>
      <c r="AU82" s="111">
        <v>6093.06</v>
      </c>
      <c r="AV82" s="32">
        <v>124496.7181245042</v>
      </c>
      <c r="AW82" s="46"/>
      <c r="AX82" s="34">
        <f t="shared" si="11"/>
        <v>2.2924026140432088</v>
      </c>
      <c r="AY82" s="32">
        <f t="shared" si="13"/>
        <v>979224.71840753756</v>
      </c>
      <c r="AZ82" s="26">
        <f>17.87*B82*12</f>
        <v>970491.10800000001</v>
      </c>
      <c r="BA82" s="19" t="e">
        <f>(#REF!+#REF!+I82+#REF!+#REF!+#REF!+#REF!+AX82)*1.06+#REF!</f>
        <v>#REF!</v>
      </c>
      <c r="BB82" s="16"/>
      <c r="BC82" s="25"/>
      <c r="BD82" s="25"/>
      <c r="BE82" s="25"/>
    </row>
    <row r="83" spans="1:57" s="17" customFormat="1" ht="12.6" customHeight="1">
      <c r="A83" s="15" t="s">
        <v>112</v>
      </c>
      <c r="B83" s="29">
        <v>3532.3</v>
      </c>
      <c r="C83" s="52">
        <v>9</v>
      </c>
      <c r="D83" s="34">
        <v>156310.07190064786</v>
      </c>
      <c r="E83" s="37">
        <v>67891.024416600005</v>
      </c>
      <c r="F83" s="109">
        <v>35605.440000000002</v>
      </c>
      <c r="G83" s="49">
        <f t="shared" si="9"/>
        <v>2</v>
      </c>
      <c r="H83" s="110">
        <v>50455.621934991701</v>
      </c>
      <c r="I83" s="34">
        <f t="shared" si="10"/>
        <v>1.1903392014407916</v>
      </c>
      <c r="J83" s="59">
        <v>30</v>
      </c>
      <c r="K83" s="32">
        <v>6300</v>
      </c>
      <c r="L83" s="59"/>
      <c r="M83" s="59"/>
      <c r="N83" s="59"/>
      <c r="O83" s="59"/>
      <c r="P83" s="59"/>
      <c r="Q83" s="59"/>
      <c r="R83" s="59">
        <v>20</v>
      </c>
      <c r="S83" s="34">
        <v>4000</v>
      </c>
      <c r="T83" s="59"/>
      <c r="U83" s="59"/>
      <c r="V83" s="59"/>
      <c r="W83" s="59"/>
      <c r="X83" s="59"/>
      <c r="Y83" s="59"/>
      <c r="Z83" s="59"/>
      <c r="AA83" s="59"/>
      <c r="AB83" s="59">
        <v>0</v>
      </c>
      <c r="AC83" s="59"/>
      <c r="AD83" s="59">
        <v>0</v>
      </c>
      <c r="AE83" s="59"/>
      <c r="AF83" s="33">
        <v>0</v>
      </c>
      <c r="AG83" s="59"/>
      <c r="AH83" s="59"/>
      <c r="AI83" s="46"/>
      <c r="AJ83" s="115">
        <v>111760.128</v>
      </c>
      <c r="AK83" s="116">
        <v>70357.240000000005</v>
      </c>
      <c r="AL83" s="112">
        <v>2995.2</v>
      </c>
      <c r="AM83" s="32">
        <v>76912.838542367419</v>
      </c>
      <c r="AN83" s="46"/>
      <c r="AO83" s="59">
        <v>40242.959999999999</v>
      </c>
      <c r="AP83" s="46"/>
      <c r="AQ83" s="99">
        <v>4339.1400000000003</v>
      </c>
      <c r="AR83" s="59">
        <v>4339.1400000000003</v>
      </c>
      <c r="AS83" s="59">
        <v>0</v>
      </c>
      <c r="AT83" s="33">
        <v>18209.34</v>
      </c>
      <c r="AU83" s="115">
        <v>3900.09</v>
      </c>
      <c r="AV83" s="32">
        <v>97169.445043017928</v>
      </c>
      <c r="AW83" s="46"/>
      <c r="AX83" s="34">
        <f t="shared" si="11"/>
        <v>2.2924026140432088</v>
      </c>
      <c r="AY83" s="32">
        <f t="shared" si="13"/>
        <v>742109.39983762486</v>
      </c>
      <c r="AZ83" s="26">
        <f>17.87*B83*12</f>
        <v>757466.41200000013</v>
      </c>
      <c r="BA83" s="19" t="e">
        <f>(#REF!+#REF!+I83+#REF!+#REF!+#REF!+#REF!+AX83)*1.06+#REF!</f>
        <v>#REF!</v>
      </c>
      <c r="BB83" s="16"/>
      <c r="BC83" s="25"/>
      <c r="BD83" s="25"/>
      <c r="BE83" s="25"/>
    </row>
    <row r="84" spans="1:57" s="17" customFormat="1" ht="12.6" customHeight="1">
      <c r="A84" s="15" t="s">
        <v>113</v>
      </c>
      <c r="B84" s="29">
        <v>3541.9</v>
      </c>
      <c r="C84" s="52">
        <v>12</v>
      </c>
      <c r="D84" s="34">
        <v>163251.27549690133</v>
      </c>
      <c r="E84" s="37">
        <v>68073.51000780001</v>
      </c>
      <c r="F84" s="109">
        <v>35723.760000000002</v>
      </c>
      <c r="G84" s="49">
        <f>COUNT(J84,L84,N84,P84,R84,Y84,#REF!,AA84,#REF!,AC84,AE84)</f>
        <v>2</v>
      </c>
      <c r="H84" s="110">
        <v>71651.164207894879</v>
      </c>
      <c r="I84" s="34">
        <f t="shared" si="10"/>
        <v>1.6857986816843802</v>
      </c>
      <c r="J84" s="59">
        <v>40</v>
      </c>
      <c r="K84" s="32">
        <v>8400</v>
      </c>
      <c r="L84" s="59">
        <v>1</v>
      </c>
      <c r="M84" s="59">
        <v>11500</v>
      </c>
      <c r="N84" s="59"/>
      <c r="O84" s="59"/>
      <c r="P84" s="59"/>
      <c r="Q84" s="59"/>
      <c r="R84" s="59"/>
      <c r="S84" s="34">
        <v>0</v>
      </c>
      <c r="T84" s="59"/>
      <c r="U84" s="59"/>
      <c r="V84" s="59"/>
      <c r="W84" s="59"/>
      <c r="X84" s="59"/>
      <c r="Y84" s="59"/>
      <c r="Z84" s="59"/>
      <c r="AA84" s="59"/>
      <c r="AB84" s="59">
        <v>0</v>
      </c>
      <c r="AC84" s="59"/>
      <c r="AD84" s="59">
        <v>0</v>
      </c>
      <c r="AE84" s="59"/>
      <c r="AF84" s="33">
        <v>0</v>
      </c>
      <c r="AG84" s="59"/>
      <c r="AH84" s="59"/>
      <c r="AI84" s="46"/>
      <c r="AJ84" s="111">
        <v>87065.856</v>
      </c>
      <c r="AK84" s="112">
        <v>70596.479999999996</v>
      </c>
      <c r="AL84" s="112">
        <v>2995.2</v>
      </c>
      <c r="AM84" s="32">
        <v>77014.24517521479</v>
      </c>
      <c r="AN84" s="46"/>
      <c r="AO84" s="59">
        <v>40210.559999999998</v>
      </c>
      <c r="AP84" s="46"/>
      <c r="AQ84" s="99">
        <v>4310.3999999999996</v>
      </c>
      <c r="AR84" s="59">
        <v>4310.3999999999996</v>
      </c>
      <c r="AS84" s="59">
        <v>0</v>
      </c>
      <c r="AT84" s="33">
        <v>18060.88</v>
      </c>
      <c r="AU84" s="111">
        <v>4807.01</v>
      </c>
      <c r="AV84" s="32">
        <v>97433.529824155703</v>
      </c>
      <c r="AW84" s="46"/>
      <c r="AX84" s="34">
        <f t="shared" si="11"/>
        <v>2.2924026140432088</v>
      </c>
      <c r="AY84" s="32">
        <f t="shared" si="13"/>
        <v>756783.47071196674</v>
      </c>
      <c r="AZ84" s="26">
        <f>17.87*B84*12</f>
        <v>759525.03600000008</v>
      </c>
      <c r="BA84" s="19" t="e">
        <f>(#REF!+#REF!+I84+#REF!+#REF!+#REF!+#REF!+AX84)*1.06+#REF!</f>
        <v>#REF!</v>
      </c>
      <c r="BB84" s="16"/>
      <c r="BC84" s="25"/>
      <c r="BD84" s="25"/>
      <c r="BE84" s="25"/>
    </row>
  </sheetData>
  <mergeCells count="38">
    <mergeCell ref="H2:AV2"/>
    <mergeCell ref="A4:A5"/>
    <mergeCell ref="B4:B5"/>
    <mergeCell ref="AL4:AL5"/>
    <mergeCell ref="N4:O4"/>
    <mergeCell ref="E4:E5"/>
    <mergeCell ref="D4:D5"/>
    <mergeCell ref="I4:I5"/>
    <mergeCell ref="J4:K4"/>
    <mergeCell ref="L4:M4"/>
    <mergeCell ref="AW4:AW5"/>
    <mergeCell ref="AR4:AR5"/>
    <mergeCell ref="R4:S4"/>
    <mergeCell ref="T4:U4"/>
    <mergeCell ref="AS4:AS5"/>
    <mergeCell ref="AP4:AP5"/>
    <mergeCell ref="AM4:AM5"/>
    <mergeCell ref="Y4:Z4"/>
    <mergeCell ref="AA4:AB4"/>
    <mergeCell ref="AC4:AD4"/>
    <mergeCell ref="AK4:AK5"/>
    <mergeCell ref="AU4:AU5"/>
    <mergeCell ref="P4:Q4"/>
    <mergeCell ref="AE4:AF4"/>
    <mergeCell ref="AZ4:AZ5"/>
    <mergeCell ref="C4:C5"/>
    <mergeCell ref="G4:G5"/>
    <mergeCell ref="AY4:AY5"/>
    <mergeCell ref="AG4:AH4"/>
    <mergeCell ref="AO4:AO5"/>
    <mergeCell ref="AN4:AN5"/>
    <mergeCell ref="AI4:AI5"/>
    <mergeCell ref="AJ4:AJ5"/>
    <mergeCell ref="AQ4:AQ5"/>
    <mergeCell ref="AT4:AT5"/>
    <mergeCell ref="AV4:AV5"/>
    <mergeCell ref="H4:H5"/>
    <mergeCell ref="F4:F5"/>
  </mergeCells>
  <phoneticPr fontId="2" type="noConversion"/>
  <hyperlinks>
    <hyperlink ref="H71:H84" location="'план 2021'!AF69" display="'план 2021'!AF69"/>
  </hyperlinks>
  <pageMargins left="0.16" right="0.2" top="0.33" bottom="0.19" header="0.17" footer="0.16"/>
  <pageSetup paperSize="9" scale="5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2021</vt:lpstr>
      <vt:lpstr>'план 2021'!Область_печати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gesk</cp:lastModifiedBy>
  <cp:lastPrinted>2018-06-22T10:33:41Z</cp:lastPrinted>
  <dcterms:created xsi:type="dcterms:W3CDTF">2009-11-10T06:40:39Z</dcterms:created>
  <dcterms:modified xsi:type="dcterms:W3CDTF">2021-03-26T18:35:31Z</dcterms:modified>
</cp:coreProperties>
</file>