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12" windowWidth="14916" windowHeight="6600"/>
  </bookViews>
  <sheets>
    <sheet name="план 2019" sheetId="1" r:id="rId1"/>
  </sheets>
  <definedNames>
    <definedName name="_xlnm.Print_Area" localSheetId="0">'план 2019'!$A$1:$AP$63</definedName>
  </definedNames>
  <calcPr calcId="125725" refMode="R1C1"/>
</workbook>
</file>

<file path=xl/calcChain.xml><?xml version="1.0" encoding="utf-8"?>
<calcChain xmlns="http://schemas.openxmlformats.org/spreadsheetml/2006/main">
  <c r="AE62" i="1"/>
  <c r="AE61"/>
  <c r="AE60"/>
  <c r="AE59"/>
  <c r="AE58"/>
  <c r="AE45"/>
  <c r="AE44"/>
  <c r="AE42"/>
  <c r="AE41"/>
  <c r="AE40"/>
  <c r="AE33"/>
  <c r="AE26"/>
  <c r="AE54"/>
  <c r="AE47"/>
  <c r="AE16"/>
  <c r="AE15"/>
  <c r="AE14"/>
  <c r="AE6"/>
  <c r="AE43" l="1"/>
  <c r="AE50"/>
  <c r="AE23"/>
  <c r="AE22"/>
  <c r="AE21"/>
  <c r="AE5"/>
  <c r="AE4"/>
  <c r="AE3"/>
  <c r="AE53"/>
  <c r="AE39"/>
  <c r="AE38"/>
  <c r="AE52"/>
  <c r="AE51"/>
  <c r="AE49"/>
  <c r="AE48"/>
  <c r="AE46"/>
  <c r="AE57"/>
  <c r="AE56"/>
  <c r="AE55"/>
  <c r="AE37"/>
  <c r="AE36"/>
  <c r="AE35"/>
  <c r="AE34"/>
  <c r="AE32"/>
  <c r="AE31"/>
  <c r="AE30"/>
  <c r="AE29"/>
  <c r="AE28"/>
  <c r="AE27"/>
  <c r="AE25"/>
  <c r="AE24"/>
  <c r="AE20"/>
  <c r="AE19"/>
  <c r="AE18"/>
  <c r="AE17"/>
  <c r="AE13"/>
  <c r="AE12"/>
  <c r="AE11"/>
  <c r="AE10"/>
  <c r="AE9"/>
  <c r="AE8"/>
  <c r="AE7"/>
  <c r="W4"/>
  <c r="W13"/>
  <c r="W17"/>
  <c r="W31"/>
  <c r="W32"/>
  <c r="W34"/>
  <c r="W37"/>
  <c r="W40"/>
  <c r="W41"/>
  <c r="W42"/>
  <c r="W43"/>
  <c r="W44"/>
  <c r="W45"/>
  <c r="W46"/>
  <c r="W48"/>
  <c r="W49"/>
  <c r="W58"/>
  <c r="W60"/>
  <c r="W62"/>
  <c r="W3"/>
  <c r="Q48"/>
  <c r="Q58"/>
  <c r="Q35"/>
  <c r="Q29"/>
  <c r="Q28"/>
  <c r="Q24"/>
  <c r="Q43"/>
  <c r="Q41"/>
  <c r="Q40"/>
  <c r="Q8"/>
  <c r="Q6"/>
  <c r="Q47"/>
  <c r="AD8"/>
  <c r="AD7"/>
  <c r="AD62"/>
  <c r="AD61"/>
  <c r="AD60"/>
  <c r="AD59"/>
  <c r="AD58"/>
  <c r="AD57"/>
  <c r="AD56"/>
  <c r="AD55"/>
  <c r="AD54"/>
  <c r="AD53"/>
  <c r="AD52"/>
  <c r="AD51"/>
  <c r="AD50"/>
  <c r="AD49"/>
  <c r="AD48"/>
  <c r="AD47"/>
  <c r="AD46"/>
  <c r="AD45"/>
  <c r="AD44"/>
  <c r="AD43"/>
  <c r="AD42"/>
  <c r="AD41"/>
  <c r="AD40"/>
  <c r="AD39"/>
  <c r="AD38"/>
  <c r="AD37"/>
  <c r="AD36"/>
  <c r="AD35"/>
  <c r="AD34"/>
  <c r="AD33"/>
  <c r="AD32"/>
  <c r="AD31"/>
  <c r="AD30"/>
  <c r="AD29"/>
  <c r="AD28"/>
  <c r="AD27"/>
  <c r="AD26"/>
  <c r="AD25"/>
  <c r="AD24"/>
  <c r="AD23"/>
  <c r="AD22"/>
  <c r="AD21"/>
  <c r="AD20"/>
  <c r="AD19"/>
  <c r="AD18"/>
  <c r="AD17"/>
  <c r="AD16"/>
  <c r="AD15"/>
  <c r="AD14"/>
  <c r="AD13"/>
  <c r="AD12"/>
  <c r="AD11"/>
  <c r="AD10"/>
  <c r="AD9"/>
  <c r="AD6"/>
  <c r="AD5"/>
  <c r="AD4"/>
  <c r="AD3"/>
  <c r="B63"/>
  <c r="AK63" l="1"/>
  <c r="AC63"/>
  <c r="AG63" l="1"/>
  <c r="R37"/>
  <c r="R32"/>
  <c r="R23"/>
  <c r="R9"/>
  <c r="R6"/>
  <c r="R3"/>
  <c r="R4"/>
  <c r="R5"/>
  <c r="R7"/>
  <c r="R8"/>
  <c r="R10"/>
  <c r="R11"/>
  <c r="R12"/>
  <c r="R13"/>
  <c r="R14"/>
  <c r="R15"/>
  <c r="R16"/>
  <c r="R17"/>
  <c r="R18"/>
  <c r="R19"/>
  <c r="R20"/>
  <c r="R21"/>
  <c r="R22"/>
  <c r="R24"/>
  <c r="R25"/>
  <c r="R26"/>
  <c r="R27"/>
  <c r="R28"/>
  <c r="R29"/>
  <c r="R30"/>
  <c r="R31"/>
  <c r="R33"/>
  <c r="R34"/>
  <c r="R35"/>
  <c r="R36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W63"/>
  <c r="AL63"/>
  <c r="V63"/>
  <c r="Z63"/>
  <c r="X63"/>
  <c r="Y63"/>
  <c r="AA63"/>
  <c r="AB63"/>
  <c r="AE63"/>
  <c r="AJ63"/>
  <c r="R63" l="1"/>
  <c r="AP3" l="1"/>
  <c r="AI63"/>
  <c r="AN63" l="1"/>
  <c r="AM63"/>
  <c r="U19" l="1"/>
  <c r="U6"/>
  <c r="U46"/>
  <c r="U8"/>
  <c r="U15"/>
  <c r="U36"/>
  <c r="AP29"/>
  <c r="U37"/>
  <c r="U13"/>
  <c r="U61"/>
  <c r="U7"/>
  <c r="U11"/>
  <c r="AP23"/>
  <c r="U40"/>
  <c r="U43"/>
  <c r="U31"/>
  <c r="AP10"/>
  <c r="U5"/>
  <c r="U28"/>
  <c r="U12"/>
  <c r="U32"/>
  <c r="U38"/>
  <c r="U45"/>
  <c r="U27"/>
  <c r="U53"/>
  <c r="U33"/>
  <c r="U62"/>
  <c r="U57"/>
  <c r="U48"/>
  <c r="U24"/>
  <c r="U26"/>
  <c r="U18"/>
  <c r="U54"/>
  <c r="U44"/>
  <c r="U41"/>
  <c r="U35"/>
  <c r="AP21"/>
  <c r="U58"/>
  <c r="U20"/>
  <c r="U59"/>
  <c r="AP16"/>
  <c r="U14"/>
  <c r="U56"/>
  <c r="U39"/>
  <c r="U50"/>
  <c r="U49"/>
  <c r="U4"/>
  <c r="U22"/>
  <c r="AP25"/>
  <c r="U47"/>
  <c r="U52"/>
  <c r="U51"/>
  <c r="AP33"/>
  <c r="AP32"/>
  <c r="AP31"/>
  <c r="AP20"/>
  <c r="AP19"/>
  <c r="AP18"/>
  <c r="AP7"/>
  <c r="AP6"/>
  <c r="AP5"/>
  <c r="AP58"/>
  <c r="AP52"/>
  <c r="AP49"/>
  <c r="AP47"/>
  <c r="AP57"/>
  <c r="AP44"/>
  <c r="AP40"/>
  <c r="AP39"/>
  <c r="AP38"/>
  <c r="U34"/>
  <c r="U42"/>
  <c r="U60"/>
  <c r="U55"/>
  <c r="U9"/>
  <c r="U17"/>
  <c r="U30"/>
  <c r="E63"/>
  <c r="AF63"/>
  <c r="U3"/>
  <c r="AH63"/>
  <c r="AP43" l="1"/>
  <c r="AP45"/>
  <c r="AP56"/>
  <c r="AP46"/>
  <c r="AP51"/>
  <c r="AP62"/>
  <c r="AP59"/>
  <c r="AP4"/>
  <c r="AP8"/>
  <c r="AP41"/>
  <c r="AP54"/>
  <c r="AP53"/>
  <c r="AP48"/>
  <c r="AP50"/>
  <c r="AP11"/>
  <c r="AP13"/>
  <c r="AP15"/>
  <c r="AP22"/>
  <c r="AP24"/>
  <c r="AP26"/>
  <c r="AP28"/>
  <c r="AP35"/>
  <c r="AP37"/>
  <c r="AP61"/>
  <c r="U25"/>
  <c r="U16"/>
  <c r="U21"/>
  <c r="U10"/>
  <c r="U23"/>
  <c r="U29"/>
  <c r="AP12"/>
  <c r="AP14"/>
  <c r="AP27"/>
  <c r="AP36"/>
  <c r="AP30"/>
  <c r="AP34"/>
  <c r="AP9"/>
  <c r="AP17"/>
  <c r="AP42"/>
  <c r="AP55"/>
  <c r="AP60"/>
  <c r="T63"/>
  <c r="AP63" l="1"/>
  <c r="D63" l="1"/>
</calcChain>
</file>

<file path=xl/sharedStrings.xml><?xml version="1.0" encoding="utf-8"?>
<sst xmlns="http://schemas.openxmlformats.org/spreadsheetml/2006/main" count="108" uniqueCount="98">
  <si>
    <t>Дом</t>
  </si>
  <si>
    <t>Мира,д.48/1</t>
  </si>
  <si>
    <t>Зарплата обслуживающего персонала</t>
  </si>
  <si>
    <t>мира,д.17а</t>
  </si>
  <si>
    <t>мира,д.17д</t>
  </si>
  <si>
    <t>мира,д.38/1</t>
  </si>
  <si>
    <t>мира,д.40</t>
  </si>
  <si>
    <t>мира,д.42</t>
  </si>
  <si>
    <t>мира,д.44</t>
  </si>
  <si>
    <t>мира,д.44а</t>
  </si>
  <si>
    <t>мира,д.44б</t>
  </si>
  <si>
    <t>мира,д.48а</t>
  </si>
  <si>
    <t>мира,д.50</t>
  </si>
  <si>
    <t>мира,д.52</t>
  </si>
  <si>
    <t>мира,д.54</t>
  </si>
  <si>
    <t>мира,д.56</t>
  </si>
  <si>
    <t>мира,д.52а</t>
  </si>
  <si>
    <t>мира,д.54а</t>
  </si>
  <si>
    <t>мира,д.54б</t>
  </si>
  <si>
    <t>мира,д.54в</t>
  </si>
  <si>
    <t>Орджоникидзе,д.2</t>
  </si>
  <si>
    <t>Орджоникидзе,д.2 кор.2</t>
  </si>
  <si>
    <t>Орджоникидзе,д3</t>
  </si>
  <si>
    <t>Орджоникидзе,д4</t>
  </si>
  <si>
    <t>Орджоникидзе,д5</t>
  </si>
  <si>
    <t>Орджоникидзе,д3а</t>
  </si>
  <si>
    <t>Орджоникидзе,д3б</t>
  </si>
  <si>
    <t>Орджоникидзе,д3в</t>
  </si>
  <si>
    <t>Орджоникидзе,д3г</t>
  </si>
  <si>
    <t>Орджоникидзе,д5а</t>
  </si>
  <si>
    <t>Орджоникидзе,д5б</t>
  </si>
  <si>
    <t>Орджоникидзе,д5в</t>
  </si>
  <si>
    <t>Орджоникидзе,д5д</t>
  </si>
  <si>
    <t>Орджоникидзе,д6/33</t>
  </si>
  <si>
    <t>Орджоникидзе,д7а</t>
  </si>
  <si>
    <t>ул.Молодежная,д.2</t>
  </si>
  <si>
    <t>ул.Молодежная,д.4</t>
  </si>
  <si>
    <t>ул.Молодежная,д.6</t>
  </si>
  <si>
    <t>ул.Молодежная,д.8</t>
  </si>
  <si>
    <t>ул.Молодежная,д.8а</t>
  </si>
  <si>
    <t>ул.Молодежная,д.8б</t>
  </si>
  <si>
    <t>ул.Молодежная,д.10</t>
  </si>
  <si>
    <t>ул.Молодежная,д.12</t>
  </si>
  <si>
    <t>ул.Есенина,д.3</t>
  </si>
  <si>
    <t>ул.Есенина,д.4</t>
  </si>
  <si>
    <t>ул.Есенина,д.5</t>
  </si>
  <si>
    <t>ул.Есенина,д.7</t>
  </si>
  <si>
    <t>ул.Есенина,д.5а</t>
  </si>
  <si>
    <t>ул.Есенина,д.7а</t>
  </si>
  <si>
    <t>ул.Есенина,д.7б</t>
  </si>
  <si>
    <t>ул.Дружбы,д.29/7</t>
  </si>
  <si>
    <t>ул.Дружбы,д.29а</t>
  </si>
  <si>
    <t>ул.Дружбы,д.31</t>
  </si>
  <si>
    <t>ул.Дружбы,д.31а</t>
  </si>
  <si>
    <t>ул.Трудовой проезд,д.1</t>
  </si>
  <si>
    <t>ул.Трудовой проезд,д.3</t>
  </si>
  <si>
    <t>ул.Трудовой проезд,д.5</t>
  </si>
  <si>
    <t>ул.Трудовой проезд,д.7</t>
  </si>
  <si>
    <t>ул.Трудовой проезд,д.11</t>
  </si>
  <si>
    <t>Мира,д.17г</t>
  </si>
  <si>
    <t>Орджоникидзе,д5г</t>
  </si>
  <si>
    <t>ИТОГО</t>
  </si>
  <si>
    <t xml:space="preserve">кв. м </t>
  </si>
  <si>
    <t>Аварийно-сервисное обслуживание</t>
  </si>
  <si>
    <t>Уборка придомовой территории</t>
  </si>
  <si>
    <t>Ремонт швов</t>
  </si>
  <si>
    <t>Текущий ремонт системы центрального отопления</t>
  </si>
  <si>
    <t>Восстановление опопления в подъездах</t>
  </si>
  <si>
    <t>Капитальный ремонт системы горячего водоснабжения</t>
  </si>
  <si>
    <t>Текущий ремонт системы горячего водоснабжения</t>
  </si>
  <si>
    <t>Ремонт конструктивных элементов зданий (материальные затраты)</t>
  </si>
  <si>
    <t>Ремонт ступеней</t>
  </si>
  <si>
    <t>Ремонт балкона</t>
  </si>
  <si>
    <t>Обслуживние лифта</t>
  </si>
  <si>
    <t>Расходы на управление</t>
  </si>
  <si>
    <t>ИТОГО расходы</t>
  </si>
  <si>
    <t>Отопление,п.м.</t>
  </si>
  <si>
    <t>сумма</t>
  </si>
  <si>
    <t>Замена стояков,п.м.</t>
  </si>
  <si>
    <t>п.м.</t>
  </si>
  <si>
    <t>кв.м</t>
  </si>
  <si>
    <t>пог. М</t>
  </si>
  <si>
    <t>Сумма</t>
  </si>
  <si>
    <t>ул.Есенина,д.7в</t>
  </si>
  <si>
    <t>Ремонт фасадов(цоколей)</t>
  </si>
  <si>
    <t>монтаж отливов</t>
  </si>
  <si>
    <t>Уборка лестничных клеток и мусоропроводов</t>
  </si>
  <si>
    <t>Опиловка деревьев</t>
  </si>
  <si>
    <t>Услуги Расчетного центра</t>
  </si>
  <si>
    <t>Услуги по дератизации</t>
  </si>
  <si>
    <t>Работы по содержания и ремонту ВДО, вход.в общее имущество дома</t>
  </si>
  <si>
    <t>Работы по содержанию земельного участка</t>
  </si>
  <si>
    <t>Работы по ремонту конструктивных элементов зданий</t>
  </si>
  <si>
    <t>Техобслуживание ОДПУ</t>
  </si>
  <si>
    <t>Содержание общего имущества(ГВС)</t>
  </si>
  <si>
    <t>Содержание общего имущества(ХВС)</t>
  </si>
  <si>
    <t>Содержание общего имущества(электроэнергия)</t>
  </si>
  <si>
    <t>Кол-во работ, ед.</t>
  </si>
</sst>
</file>

<file path=xl/styles.xml><?xml version="1.0" encoding="utf-8"?>
<styleSheet xmlns="http://schemas.openxmlformats.org/spreadsheetml/2006/main">
  <fonts count="10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7"/>
      <name val="Arial Cyr"/>
      <charset val="204"/>
    </font>
    <font>
      <b/>
      <sz val="10"/>
      <name val="Arial Cyr"/>
      <charset val="204"/>
    </font>
    <font>
      <sz val="6"/>
      <name val="Arial Cyr"/>
      <charset val="204"/>
    </font>
    <font>
      <b/>
      <sz val="9"/>
      <name val="Arial Cyr"/>
      <charset val="204"/>
    </font>
    <font>
      <b/>
      <sz val="7"/>
      <name val="Arial Cyr"/>
      <charset val="204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Fill="1" applyBorder="1"/>
    <xf numFmtId="4" fontId="3" fillId="0" borderId="1" xfId="0" applyNumberFormat="1" applyFont="1" applyFill="1" applyBorder="1"/>
    <xf numFmtId="4" fontId="0" fillId="0" borderId="1" xfId="0" applyNumberFormat="1" applyFill="1" applyBorder="1"/>
    <xf numFmtId="4" fontId="7" fillId="0" borderId="1" xfId="0" applyNumberFormat="1" applyFont="1" applyFill="1" applyBorder="1"/>
    <xf numFmtId="4" fontId="7" fillId="0" borderId="1" xfId="0" applyNumberFormat="1" applyFont="1" applyFill="1" applyBorder="1" applyAlignment="1">
      <alignment horizontal="center"/>
    </xf>
    <xf numFmtId="4" fontId="9" fillId="0" borderId="1" xfId="0" applyNumberFormat="1" applyFont="1" applyFill="1" applyBorder="1"/>
    <xf numFmtId="0" fontId="0" fillId="0" borderId="1" xfId="0" applyFill="1" applyBorder="1" applyAlignment="1">
      <alignment horizontal="center" vertical="justify"/>
    </xf>
    <xf numFmtId="2" fontId="0" fillId="0" borderId="5" xfId="0" applyNumberFormat="1" applyFill="1" applyBorder="1" applyAlignment="1">
      <alignment horizontal="center" vertical="justify" textRotation="90"/>
    </xf>
    <xf numFmtId="2" fontId="0" fillId="0" borderId="5" xfId="0" applyNumberFormat="1" applyFill="1" applyBorder="1" applyAlignment="1">
      <alignment horizontal="center" textRotation="90" wrapText="1"/>
    </xf>
    <xf numFmtId="0" fontId="0" fillId="0" borderId="5" xfId="0" applyFont="1" applyFill="1" applyBorder="1" applyAlignment="1">
      <alignment horizontal="center" vertical="justify" textRotation="90"/>
    </xf>
    <xf numFmtId="0" fontId="0" fillId="0" borderId="4" xfId="0" applyFill="1" applyBorder="1" applyAlignment="1">
      <alignment horizontal="center" vertical="justify"/>
    </xf>
    <xf numFmtId="0" fontId="3" fillId="0" borderId="6" xfId="0" applyFont="1" applyFill="1" applyBorder="1" applyAlignment="1">
      <alignment horizontal="center" vertical="justify"/>
    </xf>
    <xf numFmtId="0" fontId="0" fillId="0" borderId="6" xfId="0" applyFill="1" applyBorder="1" applyAlignment="1">
      <alignment horizontal="center" vertical="justify"/>
    </xf>
    <xf numFmtId="0" fontId="0" fillId="0" borderId="3" xfId="0" applyFill="1" applyBorder="1" applyAlignment="1">
      <alignment horizontal="center" vertical="justify"/>
    </xf>
    <xf numFmtId="0" fontId="0" fillId="0" borderId="5" xfId="0" applyFill="1" applyBorder="1" applyAlignment="1">
      <alignment horizontal="center" vertical="justify"/>
    </xf>
    <xf numFmtId="0" fontId="3" fillId="0" borderId="1" xfId="0" applyFont="1" applyFill="1" applyBorder="1" applyAlignment="1">
      <alignment horizontal="center" vertical="justify"/>
    </xf>
    <xf numFmtId="0" fontId="0" fillId="0" borderId="5" xfId="0" applyFill="1" applyBorder="1" applyAlignment="1">
      <alignment horizontal="center" vertical="justify" textRotation="90"/>
    </xf>
    <xf numFmtId="2" fontId="0" fillId="0" borderId="5" xfId="0" applyNumberFormat="1" applyFill="1" applyBorder="1" applyAlignment="1">
      <alignment horizontal="center" vertical="justify" wrapText="1"/>
    </xf>
    <xf numFmtId="2" fontId="0" fillId="0" borderId="5" xfId="0" applyNumberFormat="1" applyFill="1" applyBorder="1" applyAlignment="1">
      <alignment horizontal="center" vertical="justify" textRotation="90" wrapText="1"/>
    </xf>
    <xf numFmtId="0" fontId="0" fillId="0" borderId="4" xfId="0" applyFill="1" applyBorder="1" applyAlignment="1">
      <alignment horizontal="center" vertical="justify"/>
    </xf>
    <xf numFmtId="0" fontId="3" fillId="0" borderId="5" xfId="0" applyFont="1" applyFill="1" applyBorder="1" applyAlignment="1">
      <alignment horizontal="center" vertical="center" textRotation="90"/>
    </xf>
    <xf numFmtId="0" fontId="0" fillId="0" borderId="5" xfId="0" applyFill="1" applyBorder="1" applyAlignment="1">
      <alignment horizontal="center" vertical="justify" textRotation="90" wrapText="1"/>
    </xf>
    <xf numFmtId="0" fontId="0" fillId="0" borderId="5" xfId="0" applyFont="1" applyFill="1" applyBorder="1" applyAlignment="1">
      <alignment horizontal="center" vertical="center" textRotation="90"/>
    </xf>
    <xf numFmtId="0" fontId="0" fillId="0" borderId="5" xfId="0" applyFill="1" applyBorder="1" applyAlignment="1">
      <alignment horizontal="center" vertical="center" textRotation="90"/>
    </xf>
    <xf numFmtId="2" fontId="0" fillId="0" borderId="5" xfId="0" applyNumberFormat="1" applyFont="1" applyFill="1" applyBorder="1" applyAlignment="1">
      <alignment horizontal="center" vertical="center" textRotation="90"/>
    </xf>
    <xf numFmtId="0" fontId="3" fillId="0" borderId="5" xfId="0" applyFont="1" applyFill="1" applyBorder="1" applyAlignment="1">
      <alignment horizontal="center" vertical="justify" textRotation="90"/>
    </xf>
    <xf numFmtId="2" fontId="3" fillId="0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/>
    <xf numFmtId="2" fontId="0" fillId="0" borderId="2" xfId="0" applyNumberFormat="1" applyFill="1" applyBorder="1" applyAlignment="1">
      <alignment horizontal="center" vertical="justify" textRotation="90"/>
    </xf>
    <xf numFmtId="2" fontId="0" fillId="0" borderId="2" xfId="0" applyNumberFormat="1" applyFill="1" applyBorder="1" applyAlignment="1">
      <alignment horizontal="center" textRotation="90" wrapText="1"/>
    </xf>
    <xf numFmtId="0" fontId="0" fillId="0" borderId="2" xfId="0" applyFont="1" applyFill="1" applyBorder="1" applyAlignment="1">
      <alignment horizontal="center" vertical="justify" textRotation="90"/>
    </xf>
    <xf numFmtId="0" fontId="0" fillId="0" borderId="2" xfId="0" applyFill="1" applyBorder="1" applyAlignment="1">
      <alignment horizontal="center" textRotation="90"/>
    </xf>
    <xf numFmtId="0" fontId="0" fillId="0" borderId="2" xfId="0" applyFill="1" applyBorder="1" applyAlignment="1">
      <alignment horizontal="center"/>
    </xf>
    <xf numFmtId="0" fontId="3" fillId="0" borderId="2" xfId="0" applyFont="1" applyFill="1" applyBorder="1" applyAlignment="1">
      <alignment horizontal="center" vertical="justify" textRotation="90"/>
    </xf>
    <xf numFmtId="2" fontId="3" fillId="0" borderId="2" xfId="0" applyNumberFormat="1" applyFont="1" applyFill="1" applyBorder="1" applyAlignment="1">
      <alignment horizontal="center" vertical="justify" wrapText="1"/>
    </xf>
    <xf numFmtId="2" fontId="3" fillId="0" borderId="2" xfId="0" applyNumberFormat="1" applyFont="1" applyFill="1" applyBorder="1" applyAlignment="1">
      <alignment horizontal="center" vertical="justify" textRotation="90" wrapText="1"/>
    </xf>
    <xf numFmtId="2" fontId="0" fillId="0" borderId="2" xfId="0" applyNumberFormat="1" applyFill="1" applyBorder="1" applyAlignment="1">
      <alignment horizontal="center" vertical="justify" textRotation="90" wrapText="1"/>
    </xf>
    <xf numFmtId="0" fontId="0" fillId="0" borderId="1" xfId="0" applyFill="1" applyBorder="1" applyAlignment="1">
      <alignment horizontal="center" vertical="justify" textRotation="90"/>
    </xf>
    <xf numFmtId="0" fontId="0" fillId="0" borderId="1" xfId="0" applyFill="1" applyBorder="1" applyAlignment="1">
      <alignment horizontal="center" textRotation="90"/>
    </xf>
    <xf numFmtId="0" fontId="3" fillId="0" borderId="2" xfId="0" applyFont="1" applyFill="1" applyBorder="1" applyAlignment="1">
      <alignment horizontal="center" vertical="center" textRotation="90"/>
    </xf>
    <xf numFmtId="0" fontId="0" fillId="0" borderId="2" xfId="0" applyFill="1" applyBorder="1" applyAlignment="1">
      <alignment horizontal="center" vertical="justify" textRotation="90" wrapText="1"/>
    </xf>
    <xf numFmtId="0" fontId="0" fillId="0" borderId="2" xfId="0" applyFill="1" applyBorder="1" applyAlignment="1">
      <alignment horizontal="center" vertical="center" textRotation="90"/>
    </xf>
    <xf numFmtId="2" fontId="3" fillId="0" borderId="2" xfId="0" applyNumberFormat="1" applyFont="1" applyFill="1" applyBorder="1" applyAlignment="1">
      <alignment horizontal="center" vertical="center" textRotation="90"/>
    </xf>
    <xf numFmtId="2" fontId="3" fillId="0" borderId="2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/>
    <xf numFmtId="4" fontId="3" fillId="0" borderId="1" xfId="0" applyNumberFormat="1" applyFont="1" applyFill="1" applyBorder="1" applyAlignment="1">
      <alignment horizontal="center"/>
    </xf>
    <xf numFmtId="4" fontId="0" fillId="0" borderId="1" xfId="0" applyNumberFormat="1" applyFont="1" applyFill="1" applyBorder="1"/>
    <xf numFmtId="4" fontId="3" fillId="0" borderId="3" xfId="0" applyNumberFormat="1" applyFont="1" applyFill="1" applyBorder="1"/>
    <xf numFmtId="4" fontId="0" fillId="0" borderId="0" xfId="0" applyNumberFormat="1" applyFill="1"/>
    <xf numFmtId="4" fontId="2" fillId="0" borderId="1" xfId="0" applyNumberFormat="1" applyFont="1" applyFill="1" applyBorder="1"/>
    <xf numFmtId="4" fontId="3" fillId="0" borderId="0" xfId="0" applyNumberFormat="1" applyFont="1" applyFill="1"/>
    <xf numFmtId="4" fontId="2" fillId="0" borderId="1" xfId="0" applyNumberFormat="1" applyFont="1" applyFill="1" applyBorder="1" applyAlignment="1">
      <alignment horizontal="center"/>
    </xf>
    <xf numFmtId="4" fontId="6" fillId="0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/>
    <xf numFmtId="4" fontId="8" fillId="0" borderId="1" xfId="0" applyNumberFormat="1" applyFont="1" applyFill="1" applyBorder="1"/>
    <xf numFmtId="4" fontId="4" fillId="0" borderId="3" xfId="0" applyNumberFormat="1" applyFont="1" applyFill="1" applyBorder="1"/>
    <xf numFmtId="4" fontId="2" fillId="0" borderId="3" xfId="0" applyNumberFormat="1" applyFont="1" applyFill="1" applyBorder="1" applyAlignment="1">
      <alignment horizontal="center"/>
    </xf>
    <xf numFmtId="2" fontId="3" fillId="0" borderId="0" xfId="0" applyNumberFormat="1" applyFont="1" applyFill="1" applyAlignment="1">
      <alignment horizontal="center"/>
    </xf>
    <xf numFmtId="0" fontId="0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2" fontId="3" fillId="0" borderId="0" xfId="0" applyNumberFormat="1" applyFont="1" applyFill="1"/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63"/>
  <sheetViews>
    <sheetView tabSelected="1" view="pageBreakPreview" zoomScale="96" zoomScaleSheetLayoutView="96" workbookViewId="0">
      <pane xSplit="2" ySplit="2" topLeftCell="C3" activePane="bottomRight" state="frozen"/>
      <selection pane="topRight" activeCell="C1" sqref="C1"/>
      <selection pane="bottomLeft" activeCell="A4" sqref="A4"/>
      <selection pane="bottomRight" activeCell="T18" sqref="T18"/>
    </sheetView>
  </sheetViews>
  <sheetFormatPr defaultRowHeight="13.2"/>
  <cols>
    <col min="1" max="1" width="22.109375" style="29" customWidth="1"/>
    <col min="2" max="3" width="10.33203125" style="29" customWidth="1"/>
    <col min="4" max="4" width="12" style="59" customWidth="1"/>
    <col min="5" max="5" width="11.33203125" style="60" customWidth="1"/>
    <col min="6" max="11" width="9.5546875" style="61" hidden="1" customWidth="1"/>
    <col min="12" max="12" width="11.33203125" style="61" hidden="1" customWidth="1"/>
    <col min="13" max="16" width="9.5546875" style="61" hidden="1" customWidth="1"/>
    <col min="17" max="17" width="9.5546875" style="61" customWidth="1"/>
    <col min="18" max="18" width="10.5546875" style="61" hidden="1" customWidth="1"/>
    <col min="19" max="20" width="10.5546875" style="61" customWidth="1"/>
    <col min="21" max="21" width="10.5546875" style="62" hidden="1" customWidth="1"/>
    <col min="22" max="22" width="7.109375" style="61" customWidth="1"/>
    <col min="23" max="23" width="9.88671875" style="61" customWidth="1"/>
    <col min="24" max="28" width="9.5546875" style="61" hidden="1" customWidth="1"/>
    <col min="29" max="29" width="13.5546875" style="61" customWidth="1"/>
    <col min="30" max="30" width="11.33203125" style="62" hidden="1" customWidth="1"/>
    <col min="31" max="32" width="11.88671875" style="61" customWidth="1"/>
    <col min="33" max="33" width="10.5546875" style="61" customWidth="1"/>
    <col min="34" max="34" width="10.6640625" style="61" customWidth="1"/>
    <col min="35" max="35" width="11.44140625" style="61" customWidth="1"/>
    <col min="36" max="37" width="9.5546875" style="61" customWidth="1"/>
    <col min="38" max="38" width="10.33203125" style="61" customWidth="1"/>
    <col min="39" max="39" width="11" style="63" customWidth="1"/>
    <col min="40" max="40" width="11.33203125" style="61" customWidth="1"/>
    <col min="41" max="41" width="12.33203125" style="61" hidden="1" customWidth="1"/>
    <col min="42" max="42" width="13.44140625" style="63" customWidth="1"/>
    <col min="43" max="43" width="12.6640625" style="29" bestFit="1" customWidth="1"/>
    <col min="44" max="44" width="11.6640625" style="29" bestFit="1" customWidth="1"/>
    <col min="45" max="16384" width="8.88671875" style="29"/>
  </cols>
  <sheetData>
    <row r="1" spans="1:44" ht="87.75" customHeight="1">
      <c r="A1" s="7" t="s">
        <v>0</v>
      </c>
      <c r="B1" s="7" t="s">
        <v>62</v>
      </c>
      <c r="C1" s="8" t="s">
        <v>97</v>
      </c>
      <c r="D1" s="9" t="s">
        <v>90</v>
      </c>
      <c r="E1" s="10" t="s">
        <v>63</v>
      </c>
      <c r="F1" s="11" t="s">
        <v>66</v>
      </c>
      <c r="G1" s="12"/>
      <c r="H1" s="13"/>
      <c r="I1" s="13"/>
      <c r="J1" s="13"/>
      <c r="K1" s="14"/>
      <c r="L1" s="15" t="s">
        <v>67</v>
      </c>
      <c r="M1" s="7" t="s">
        <v>68</v>
      </c>
      <c r="N1" s="16"/>
      <c r="O1" s="7" t="s">
        <v>69</v>
      </c>
      <c r="P1" s="16"/>
      <c r="Q1" s="17" t="s">
        <v>93</v>
      </c>
      <c r="R1" s="18" t="s">
        <v>70</v>
      </c>
      <c r="S1" s="8" t="s">
        <v>97</v>
      </c>
      <c r="T1" s="19" t="s">
        <v>92</v>
      </c>
      <c r="U1" s="19"/>
      <c r="V1" s="7" t="s">
        <v>65</v>
      </c>
      <c r="W1" s="16"/>
      <c r="X1" s="11" t="s">
        <v>84</v>
      </c>
      <c r="Y1" s="14"/>
      <c r="Z1" s="20" t="s">
        <v>85</v>
      </c>
      <c r="AA1" s="20" t="s">
        <v>71</v>
      </c>
      <c r="AB1" s="20" t="s">
        <v>72</v>
      </c>
      <c r="AC1" s="21" t="s">
        <v>64</v>
      </c>
      <c r="AD1" s="21"/>
      <c r="AE1" s="22" t="s">
        <v>86</v>
      </c>
      <c r="AF1" s="22" t="s">
        <v>91</v>
      </c>
      <c r="AG1" s="22" t="s">
        <v>87</v>
      </c>
      <c r="AH1" s="23" t="s">
        <v>89</v>
      </c>
      <c r="AI1" s="21" t="s">
        <v>73</v>
      </c>
      <c r="AJ1" s="24" t="s">
        <v>94</v>
      </c>
      <c r="AK1" s="24" t="s">
        <v>95</v>
      </c>
      <c r="AL1" s="24" t="s">
        <v>96</v>
      </c>
      <c r="AM1" s="25" t="s">
        <v>88</v>
      </c>
      <c r="AN1" s="24" t="s">
        <v>74</v>
      </c>
      <c r="AO1" s="26" t="s">
        <v>2</v>
      </c>
      <c r="AP1" s="27" t="s">
        <v>75</v>
      </c>
      <c r="AQ1" s="28"/>
      <c r="AR1" s="28"/>
    </row>
    <row r="2" spans="1:44" ht="99" customHeight="1">
      <c r="A2" s="7"/>
      <c r="B2" s="7"/>
      <c r="C2" s="30"/>
      <c r="D2" s="31"/>
      <c r="E2" s="32"/>
      <c r="F2" s="33" t="s">
        <v>76</v>
      </c>
      <c r="G2" s="33" t="s">
        <v>77</v>
      </c>
      <c r="H2" s="33" t="s">
        <v>78</v>
      </c>
      <c r="I2" s="33" t="s">
        <v>77</v>
      </c>
      <c r="J2" s="33"/>
      <c r="K2" s="33" t="s">
        <v>77</v>
      </c>
      <c r="L2" s="34"/>
      <c r="M2" s="33" t="s">
        <v>79</v>
      </c>
      <c r="N2" s="33" t="s">
        <v>77</v>
      </c>
      <c r="O2" s="33" t="s">
        <v>79</v>
      </c>
      <c r="P2" s="33" t="s">
        <v>77</v>
      </c>
      <c r="Q2" s="35"/>
      <c r="R2" s="36"/>
      <c r="S2" s="30"/>
      <c r="T2" s="37"/>
      <c r="U2" s="38"/>
      <c r="V2" s="39" t="s">
        <v>81</v>
      </c>
      <c r="W2" s="40" t="s">
        <v>82</v>
      </c>
      <c r="X2" s="33" t="s">
        <v>80</v>
      </c>
      <c r="Y2" s="33" t="s">
        <v>77</v>
      </c>
      <c r="Z2" s="33" t="s">
        <v>77</v>
      </c>
      <c r="AA2" s="33" t="s">
        <v>80</v>
      </c>
      <c r="AB2" s="33" t="s">
        <v>77</v>
      </c>
      <c r="AC2" s="41"/>
      <c r="AD2" s="41"/>
      <c r="AE2" s="42"/>
      <c r="AF2" s="42"/>
      <c r="AG2" s="42"/>
      <c r="AH2" s="43"/>
      <c r="AI2" s="43"/>
      <c r="AJ2" s="41"/>
      <c r="AK2" s="41"/>
      <c r="AL2" s="41"/>
      <c r="AM2" s="44"/>
      <c r="AN2" s="41"/>
      <c r="AO2" s="35"/>
      <c r="AP2" s="45"/>
      <c r="AQ2" s="28"/>
      <c r="AR2" s="28"/>
    </row>
    <row r="3" spans="1:44" ht="12.75" customHeight="1">
      <c r="A3" s="1" t="s">
        <v>3</v>
      </c>
      <c r="B3" s="46">
        <v>2059.4</v>
      </c>
      <c r="C3" s="46">
        <v>10</v>
      </c>
      <c r="D3" s="47">
        <v>94031.000045664419</v>
      </c>
      <c r="E3" s="48">
        <v>34028.728213989925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 t="e">
        <f>B3*#REF!</f>
        <v>#REF!</v>
      </c>
      <c r="S3" s="2">
        <v>2</v>
      </c>
      <c r="T3" s="2">
        <v>24462.72845759878</v>
      </c>
      <c r="U3" s="47">
        <f t="shared" ref="U3:U34" si="0">T3/B3/12</f>
        <v>0.98988088996790236</v>
      </c>
      <c r="V3" s="2">
        <v>40</v>
      </c>
      <c r="W3" s="2">
        <f>PRODUCT(V3,180)</f>
        <v>7200</v>
      </c>
      <c r="X3" s="2"/>
      <c r="Y3" s="2"/>
      <c r="Z3" s="2"/>
      <c r="AA3" s="2"/>
      <c r="AB3" s="2"/>
      <c r="AC3" s="2">
        <v>77340.56</v>
      </c>
      <c r="AD3" s="47">
        <f t="shared" ref="AD3:AD34" si="1">AC3/B3/12</f>
        <v>3.129574957107248</v>
      </c>
      <c r="AE3" s="2">
        <f>39540.48</f>
        <v>39540.480000000003</v>
      </c>
      <c r="AF3" s="2">
        <v>25012.578101445306</v>
      </c>
      <c r="AG3" s="2"/>
      <c r="AH3" s="2">
        <v>722.16</v>
      </c>
      <c r="AI3" s="2">
        <v>183184.32000000004</v>
      </c>
      <c r="AJ3" s="49">
        <v>7290.18</v>
      </c>
      <c r="AK3" s="49">
        <v>1730.2080000000001</v>
      </c>
      <c r="AL3" s="49">
        <v>55727.364000000001</v>
      </c>
      <c r="AM3" s="3">
        <v>10061.176690745977</v>
      </c>
      <c r="AN3" s="2">
        <v>90887.45558358854</v>
      </c>
      <c r="AO3" s="2"/>
      <c r="AP3" s="2">
        <f t="shared" ref="AP3:AP34" si="2">D3+E3+T3+W3+AC3+AE3+AF3+AG3+AH3+AI3+AJ3+AK3+AL3+AM3+AN3</f>
        <v>651218.93909303297</v>
      </c>
      <c r="AQ3" s="50"/>
      <c r="AR3" s="50"/>
    </row>
    <row r="4" spans="1:44" ht="12.75" customHeight="1">
      <c r="A4" s="1" t="s">
        <v>59</v>
      </c>
      <c r="B4" s="2">
        <v>1802.4</v>
      </c>
      <c r="C4" s="2">
        <v>8</v>
      </c>
      <c r="D4" s="47">
        <v>58067.243478481862</v>
      </c>
      <c r="E4" s="48">
        <v>29782.159722684009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 t="e">
        <f>B4*#REF!</f>
        <v>#REF!</v>
      </c>
      <c r="S4" s="2">
        <v>2</v>
      </c>
      <c r="T4" s="2">
        <v>20472.390488480163</v>
      </c>
      <c r="U4" s="47">
        <f t="shared" si="0"/>
        <v>0.94653381086699973</v>
      </c>
      <c r="V4" s="2">
        <v>30</v>
      </c>
      <c r="W4" s="2">
        <f t="shared" ref="W4:W62" si="3">PRODUCT(V4,180)</f>
        <v>5400</v>
      </c>
      <c r="X4" s="2"/>
      <c r="Y4" s="2"/>
      <c r="Z4" s="2"/>
      <c r="AA4" s="2"/>
      <c r="AB4" s="2"/>
      <c r="AC4" s="2">
        <v>67505.440000000002</v>
      </c>
      <c r="AD4" s="47">
        <f t="shared" si="1"/>
        <v>3.1210903979878677</v>
      </c>
      <c r="AE4" s="2">
        <f>34606.08</f>
        <v>34606.080000000002</v>
      </c>
      <c r="AF4" s="2">
        <v>21896.929344607663</v>
      </c>
      <c r="AG4" s="2"/>
      <c r="AH4" s="2">
        <v>440.40000000000003</v>
      </c>
      <c r="AI4" s="2">
        <v>160973.52000000002</v>
      </c>
      <c r="AJ4" s="49">
        <v>8235.8340000000007</v>
      </c>
      <c r="AK4" s="49">
        <v>1950.7739999999999</v>
      </c>
      <c r="AL4" s="49">
        <v>63804.960000000006</v>
      </c>
      <c r="AM4" s="3">
        <v>8805.6059373606622</v>
      </c>
      <c r="AN4" s="2">
        <v>79545.280151432453</v>
      </c>
      <c r="AO4" s="2"/>
      <c r="AP4" s="2">
        <f t="shared" si="2"/>
        <v>561486.61712304677</v>
      </c>
      <c r="AQ4" s="50"/>
      <c r="AR4" s="50"/>
    </row>
    <row r="5" spans="1:44" ht="12.75" customHeight="1">
      <c r="A5" s="1" t="s">
        <v>4</v>
      </c>
      <c r="B5" s="2">
        <v>1961.1</v>
      </c>
      <c r="C5" s="2">
        <v>8</v>
      </c>
      <c r="D5" s="47">
        <v>52967.082005531942</v>
      </c>
      <c r="E5" s="48">
        <v>32404.457075097431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 t="e">
        <f>B5*#REF!</f>
        <v>#REF!</v>
      </c>
      <c r="S5" s="2">
        <v>1</v>
      </c>
      <c r="T5" s="2">
        <v>16164.484790811386</v>
      </c>
      <c r="U5" s="47">
        <f t="shared" si="0"/>
        <v>0.68688001592691972</v>
      </c>
      <c r="V5" s="2"/>
      <c r="W5" s="2">
        <v>0</v>
      </c>
      <c r="X5" s="2"/>
      <c r="Y5" s="2"/>
      <c r="Z5" s="2"/>
      <c r="AA5" s="2"/>
      <c r="AB5" s="2"/>
      <c r="AC5" s="2">
        <v>81201.55</v>
      </c>
      <c r="AD5" s="47">
        <f t="shared" si="1"/>
        <v>3.4505103428348036</v>
      </c>
      <c r="AE5" s="2">
        <f>37653.12</f>
        <v>37653.120000000003</v>
      </c>
      <c r="AF5" s="2">
        <v>23846.746373518687</v>
      </c>
      <c r="AG5" s="2"/>
      <c r="AH5" s="2">
        <v>439.20000000000005</v>
      </c>
      <c r="AI5" s="2">
        <v>184807.80000000002</v>
      </c>
      <c r="AJ5" s="49">
        <v>8472.4619999999995</v>
      </c>
      <c r="AK5" s="49">
        <v>2000.2739999999999</v>
      </c>
      <c r="AL5" s="49">
        <v>65539.962</v>
      </c>
      <c r="AM5" s="3">
        <v>9580.9330912993755</v>
      </c>
      <c r="AN5" s="2">
        <v>86549.18381323466</v>
      </c>
      <c r="AO5" s="2"/>
      <c r="AP5" s="2">
        <f t="shared" si="2"/>
        <v>601627.25514949346</v>
      </c>
      <c r="AQ5" s="50"/>
      <c r="AR5" s="50"/>
    </row>
    <row r="6" spans="1:44">
      <c r="A6" s="1" t="s">
        <v>5</v>
      </c>
      <c r="B6" s="2">
        <v>3633.4</v>
      </c>
      <c r="C6" s="2">
        <v>10</v>
      </c>
      <c r="D6" s="47">
        <v>230886.54667891475</v>
      </c>
      <c r="E6" s="48">
        <v>60036.894771637861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>
        <f>9166.83*4</f>
        <v>36667.32</v>
      </c>
      <c r="R6" s="2" t="e">
        <f>B6*#REF!</f>
        <v>#REF!</v>
      </c>
      <c r="S6" s="2">
        <v>3</v>
      </c>
      <c r="T6" s="2">
        <v>31262.038198426439</v>
      </c>
      <c r="U6" s="47">
        <f t="shared" si="0"/>
        <v>0.71700606865989702</v>
      </c>
      <c r="V6" s="2"/>
      <c r="W6" s="2">
        <v>0</v>
      </c>
      <c r="X6" s="2"/>
      <c r="Y6" s="2"/>
      <c r="Z6" s="2"/>
      <c r="AA6" s="2"/>
      <c r="AB6" s="2"/>
      <c r="AC6" s="2">
        <v>176739.46</v>
      </c>
      <c r="AD6" s="47">
        <f t="shared" si="1"/>
        <v>4.0535829617805179</v>
      </c>
      <c r="AE6" s="2">
        <f>4700*12+78045.43+2173.6</f>
        <v>136619.03</v>
      </c>
      <c r="AF6" s="2">
        <v>44271.904258886752</v>
      </c>
      <c r="AG6" s="2"/>
      <c r="AH6" s="2">
        <v>2152.3200000000002</v>
      </c>
      <c r="AI6" s="2">
        <v>353141.76000000001</v>
      </c>
      <c r="AJ6" s="49">
        <v>10039.583999999999</v>
      </c>
      <c r="AK6" s="49">
        <v>2401.6559999999999</v>
      </c>
      <c r="AL6" s="49">
        <v>77173.415999999997</v>
      </c>
      <c r="AM6" s="3">
        <v>17750.936869066929</v>
      </c>
      <c r="AN6" s="2">
        <v>160352.7634832527</v>
      </c>
      <c r="AO6" s="2"/>
      <c r="AP6" s="2">
        <f t="shared" si="2"/>
        <v>1302828.3102601853</v>
      </c>
      <c r="AQ6" s="50"/>
      <c r="AR6" s="50"/>
    </row>
    <row r="7" spans="1:44" ht="12.75" customHeight="1">
      <c r="A7" s="1" t="s">
        <v>6</v>
      </c>
      <c r="B7" s="2">
        <v>5664.7</v>
      </c>
      <c r="C7" s="2">
        <v>10</v>
      </c>
      <c r="D7" s="47">
        <v>190908.28996559934</v>
      </c>
      <c r="E7" s="48">
        <v>93601.309465761267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 t="e">
        <f>B7*#REF!</f>
        <v>#REF!</v>
      </c>
      <c r="S7" s="2">
        <v>3</v>
      </c>
      <c r="T7" s="2">
        <v>50794.352714654662</v>
      </c>
      <c r="U7" s="47">
        <f t="shared" si="0"/>
        <v>0.74723510975360075</v>
      </c>
      <c r="V7" s="2">
        <v>20</v>
      </c>
      <c r="W7" s="2">
        <v>3600</v>
      </c>
      <c r="X7" s="2"/>
      <c r="Y7" s="2"/>
      <c r="Z7" s="2"/>
      <c r="AA7" s="2"/>
      <c r="AB7" s="2"/>
      <c r="AC7" s="2">
        <v>194462.19</v>
      </c>
      <c r="AD7" s="47">
        <f t="shared" si="1"/>
        <v>2.8607309301463446</v>
      </c>
      <c r="AE7" s="2">
        <f>108762.24</f>
        <v>108762.24000000001</v>
      </c>
      <c r="AF7" s="2">
        <v>68760.409903417123</v>
      </c>
      <c r="AG7" s="2"/>
      <c r="AH7" s="2">
        <v>1995.2400000000002</v>
      </c>
      <c r="AI7" s="2"/>
      <c r="AJ7" s="49">
        <v>15293.766</v>
      </c>
      <c r="AK7" s="49">
        <v>4078.3319999999994</v>
      </c>
      <c r="AL7" s="49">
        <v>38746.548000000003</v>
      </c>
      <c r="AM7" s="3">
        <v>27674.831310123693</v>
      </c>
      <c r="AN7" s="2">
        <v>250000.08237562104</v>
      </c>
      <c r="AO7" s="2"/>
      <c r="AP7" s="2">
        <f t="shared" si="2"/>
        <v>1048677.591735177</v>
      </c>
      <c r="AQ7" s="50"/>
      <c r="AR7" s="50"/>
    </row>
    <row r="8" spans="1:44">
      <c r="A8" s="1" t="s">
        <v>7</v>
      </c>
      <c r="B8" s="2">
        <v>2714</v>
      </c>
      <c r="C8" s="2">
        <v>9</v>
      </c>
      <c r="D8" s="47">
        <v>87184.619807523166</v>
      </c>
      <c r="E8" s="48">
        <v>44845.085157215042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>
        <f>6839.37*4</f>
        <v>27357.48</v>
      </c>
      <c r="R8" s="2" t="e">
        <f>B8*#REF!</f>
        <v>#REF!</v>
      </c>
      <c r="S8" s="2">
        <v>3</v>
      </c>
      <c r="T8" s="2">
        <v>35635.378358707923</v>
      </c>
      <c r="U8" s="47">
        <f t="shared" si="0"/>
        <v>1.0941838110632498</v>
      </c>
      <c r="V8" s="2"/>
      <c r="W8" s="2">
        <v>0</v>
      </c>
      <c r="X8" s="2"/>
      <c r="Y8" s="2"/>
      <c r="Z8" s="2"/>
      <c r="AA8" s="2"/>
      <c r="AB8" s="2"/>
      <c r="AC8" s="2">
        <v>102466.19000000002</v>
      </c>
      <c r="AD8" s="47">
        <f t="shared" si="1"/>
        <v>3.1462229796118897</v>
      </c>
      <c r="AE8" s="2">
        <f>52108.8</f>
        <v>52108.800000000003</v>
      </c>
      <c r="AF8" s="2">
        <v>32970.406442246553</v>
      </c>
      <c r="AG8" s="2"/>
      <c r="AH8" s="2">
        <v>1305.5999999999999</v>
      </c>
      <c r="AI8" s="2"/>
      <c r="AJ8" s="49">
        <v>6676.44</v>
      </c>
      <c r="AK8" s="49">
        <v>4071</v>
      </c>
      <c r="AL8" s="49">
        <v>17098.2</v>
      </c>
      <c r="AM8" s="3">
        <v>13259.217994893939</v>
      </c>
      <c r="AN8" s="2">
        <v>119776.90320183514</v>
      </c>
      <c r="AO8" s="2"/>
      <c r="AP8" s="2">
        <f t="shared" si="2"/>
        <v>517397.84096242185</v>
      </c>
      <c r="AQ8" s="50"/>
      <c r="AR8" s="50"/>
    </row>
    <row r="9" spans="1:44" ht="12.75" customHeight="1">
      <c r="A9" s="1" t="s">
        <v>8</v>
      </c>
      <c r="B9" s="2">
        <v>10029.200000000001</v>
      </c>
      <c r="C9" s="2">
        <v>12</v>
      </c>
      <c r="D9" s="47">
        <v>329595.07534096221</v>
      </c>
      <c r="E9" s="48">
        <v>165718.61756033203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 t="e">
        <f>B9*#REF!</f>
        <v>#REF!</v>
      </c>
      <c r="S9" s="2">
        <v>4</v>
      </c>
      <c r="T9" s="2">
        <v>87908.846668811166</v>
      </c>
      <c r="U9" s="47">
        <f t="shared" si="0"/>
        <v>0.7304408350018875</v>
      </c>
      <c r="V9" s="2"/>
      <c r="W9" s="2">
        <v>0</v>
      </c>
      <c r="X9" s="2"/>
      <c r="Y9" s="2"/>
      <c r="Z9" s="2"/>
      <c r="AA9" s="2"/>
      <c r="AB9" s="2"/>
      <c r="AC9" s="2">
        <v>352789.97</v>
      </c>
      <c r="AD9" s="47">
        <f t="shared" si="1"/>
        <v>2.9313568546510851</v>
      </c>
      <c r="AE9" s="2">
        <f>192560.64</f>
        <v>192560.64000000001</v>
      </c>
      <c r="AF9" s="2">
        <v>121764.72075484865</v>
      </c>
      <c r="AG9" s="2">
        <v>149772.22</v>
      </c>
      <c r="AH9" s="2">
        <v>3751.2000000000003</v>
      </c>
      <c r="AI9" s="2"/>
      <c r="AJ9" s="49">
        <v>25802.796000000002</v>
      </c>
      <c r="AK9" s="49">
        <v>6604.3079999999991</v>
      </c>
      <c r="AL9" s="49">
        <v>67396.224000000002</v>
      </c>
      <c r="AM9" s="3">
        <v>48997.549415766509</v>
      </c>
      <c r="AN9" s="2">
        <v>442618.46631976607</v>
      </c>
      <c r="AO9" s="2"/>
      <c r="AP9" s="2">
        <f t="shared" si="2"/>
        <v>1995280.6340604865</v>
      </c>
      <c r="AQ9" s="50"/>
      <c r="AR9" s="50"/>
    </row>
    <row r="10" spans="1:44" ht="12.75" customHeight="1">
      <c r="A10" s="1" t="s">
        <v>9</v>
      </c>
      <c r="B10" s="2">
        <v>7921.5</v>
      </c>
      <c r="C10" s="2">
        <v>12</v>
      </c>
      <c r="D10" s="47">
        <v>258106.44155228251</v>
      </c>
      <c r="E10" s="48">
        <v>130891.79884778149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 t="e">
        <f>B10*#REF!</f>
        <v>#REF!</v>
      </c>
      <c r="S10" s="2">
        <v>5</v>
      </c>
      <c r="T10" s="2">
        <v>99717.362553981118</v>
      </c>
      <c r="U10" s="47">
        <f t="shared" si="0"/>
        <v>1.0490159960653613</v>
      </c>
      <c r="V10" s="2"/>
      <c r="W10" s="2">
        <v>0</v>
      </c>
      <c r="X10" s="2"/>
      <c r="Y10" s="2"/>
      <c r="Z10" s="2"/>
      <c r="AA10" s="2"/>
      <c r="AB10" s="2"/>
      <c r="AC10" s="2">
        <v>277641.81</v>
      </c>
      <c r="AD10" s="47">
        <f t="shared" si="1"/>
        <v>2.9207621662563912</v>
      </c>
      <c r="AE10" s="2">
        <f>152092.8</f>
        <v>152092.79999999999</v>
      </c>
      <c r="AF10" s="2">
        <v>96175.146201126045</v>
      </c>
      <c r="AG10" s="2">
        <v>150221.72</v>
      </c>
      <c r="AH10" s="2">
        <v>2988</v>
      </c>
      <c r="AI10" s="2"/>
      <c r="AJ10" s="49">
        <v>22339.62</v>
      </c>
      <c r="AK10" s="49">
        <v>5703.6</v>
      </c>
      <c r="AL10" s="49">
        <v>57034.799999999996</v>
      </c>
      <c r="AM10" s="3">
        <v>38700.403591213093</v>
      </c>
      <c r="AN10" s="2">
        <v>349599.38788258546</v>
      </c>
      <c r="AO10" s="2"/>
      <c r="AP10" s="2">
        <f t="shared" si="2"/>
        <v>1641212.89062897</v>
      </c>
      <c r="AQ10" s="50"/>
      <c r="AR10" s="50"/>
    </row>
    <row r="11" spans="1:44" ht="12.75" customHeight="1">
      <c r="A11" s="1" t="s">
        <v>10</v>
      </c>
      <c r="B11" s="2">
        <v>7879</v>
      </c>
      <c r="C11" s="2">
        <v>12</v>
      </c>
      <c r="D11" s="47">
        <v>260120.10729973289</v>
      </c>
      <c r="E11" s="48">
        <v>130189.54530349938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 t="e">
        <f>B11*#REF!</f>
        <v>#REF!</v>
      </c>
      <c r="S11" s="2">
        <v>3</v>
      </c>
      <c r="T11" s="2">
        <v>94070.661345858418</v>
      </c>
      <c r="U11" s="47">
        <f t="shared" si="0"/>
        <v>0.99495136169837994</v>
      </c>
      <c r="V11" s="2"/>
      <c r="W11" s="2">
        <v>0</v>
      </c>
      <c r="X11" s="2"/>
      <c r="Y11" s="2"/>
      <c r="Z11" s="2"/>
      <c r="AA11" s="2"/>
      <c r="AB11" s="2"/>
      <c r="AC11" s="2">
        <v>275793.62</v>
      </c>
      <c r="AD11" s="47">
        <f t="shared" si="1"/>
        <v>2.9169693700554213</v>
      </c>
      <c r="AE11" s="2">
        <f>151276.8</f>
        <v>151276.79999999999</v>
      </c>
      <c r="AF11" s="2">
        <v>95654.941216824096</v>
      </c>
      <c r="AG11" s="2"/>
      <c r="AH11" s="2">
        <v>2963.64</v>
      </c>
      <c r="AI11" s="2"/>
      <c r="AJ11" s="49">
        <v>21277.344000000001</v>
      </c>
      <c r="AK11" s="49">
        <v>5673.6480000000001</v>
      </c>
      <c r="AL11" s="49">
        <v>53892.36</v>
      </c>
      <c r="AM11" s="3">
        <v>38492.770295419803</v>
      </c>
      <c r="AN11" s="2">
        <v>347723.73630333785</v>
      </c>
      <c r="AO11" s="2"/>
      <c r="AP11" s="2">
        <f t="shared" si="2"/>
        <v>1477129.1737646726</v>
      </c>
      <c r="AQ11" s="50"/>
      <c r="AR11" s="50"/>
    </row>
    <row r="12" spans="1:44">
      <c r="A12" s="1" t="s">
        <v>1</v>
      </c>
      <c r="B12" s="2">
        <v>18233.900000000001</v>
      </c>
      <c r="C12" s="2">
        <v>12</v>
      </c>
      <c r="D12" s="47">
        <v>594961.82040011673</v>
      </c>
      <c r="E12" s="48">
        <v>301289.9035549534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 t="e">
        <f>B12*#REF!</f>
        <v>#REF!</v>
      </c>
      <c r="S12" s="2">
        <v>5</v>
      </c>
      <c r="T12" s="2">
        <v>170889.30466891834</v>
      </c>
      <c r="U12" s="47">
        <f t="shared" si="0"/>
        <v>0.78100545626972429</v>
      </c>
      <c r="V12" s="2"/>
      <c r="W12" s="2">
        <v>0</v>
      </c>
      <c r="X12" s="2"/>
      <c r="Y12" s="2"/>
      <c r="Z12" s="2"/>
      <c r="AA12" s="2"/>
      <c r="AB12" s="2"/>
      <c r="AC12" s="2">
        <v>636132.4</v>
      </c>
      <c r="AD12" s="47">
        <f t="shared" si="1"/>
        <v>2.9072789328302409</v>
      </c>
      <c r="AE12" s="2">
        <f>350090.69</f>
        <v>350090.69</v>
      </c>
      <c r="AF12" s="2">
        <v>221364.41546125256</v>
      </c>
      <c r="AG12" s="2"/>
      <c r="AH12" s="2">
        <v>6431.52</v>
      </c>
      <c r="AI12" s="2"/>
      <c r="AJ12" s="49">
        <v>49229.622000000003</v>
      </c>
      <c r="AK12" s="49">
        <v>13127.784</v>
      </c>
      <c r="AL12" s="49">
        <v>126907.944</v>
      </c>
      <c r="AM12" s="3">
        <v>89081.523580359848</v>
      </c>
      <c r="AN12" s="2">
        <v>804716.31366689084</v>
      </c>
      <c r="AO12" s="2"/>
      <c r="AP12" s="2">
        <f t="shared" si="2"/>
        <v>3364223.2413324914</v>
      </c>
      <c r="AQ12" s="50"/>
      <c r="AR12" s="50"/>
    </row>
    <row r="13" spans="1:44" ht="12.75" customHeight="1">
      <c r="A13" s="1" t="s">
        <v>11</v>
      </c>
      <c r="B13" s="2">
        <v>4195.3999999999996</v>
      </c>
      <c r="C13" s="2">
        <v>9</v>
      </c>
      <c r="D13" s="47">
        <v>128712.93385851241</v>
      </c>
      <c r="E13" s="48">
        <v>69323.165168968306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 t="e">
        <f>B13*#REF!</f>
        <v>#REF!</v>
      </c>
      <c r="S13" s="2">
        <v>3</v>
      </c>
      <c r="T13" s="2">
        <v>43960.025025837582</v>
      </c>
      <c r="U13" s="47">
        <f t="shared" si="0"/>
        <v>0.87317905773461379</v>
      </c>
      <c r="V13" s="2">
        <v>42</v>
      </c>
      <c r="W13" s="2">
        <f t="shared" si="3"/>
        <v>7560</v>
      </c>
      <c r="X13" s="2"/>
      <c r="Y13" s="2"/>
      <c r="Z13" s="2"/>
      <c r="AA13" s="2"/>
      <c r="AB13" s="2"/>
      <c r="AC13" s="2">
        <v>146513.26999999999</v>
      </c>
      <c r="AD13" s="47">
        <f t="shared" si="1"/>
        <v>2.9101966836694158</v>
      </c>
      <c r="AE13" s="2">
        <f>80551.68</f>
        <v>80551.679999999993</v>
      </c>
      <c r="AF13" s="2">
        <v>50931.821397185406</v>
      </c>
      <c r="AG13" s="2"/>
      <c r="AH13" s="2">
        <v>1492.56</v>
      </c>
      <c r="AI13" s="2"/>
      <c r="AJ13" s="49">
        <v>10832.78</v>
      </c>
      <c r="AK13" s="49">
        <v>2772.3999999999996</v>
      </c>
      <c r="AL13" s="49">
        <v>27689.64</v>
      </c>
      <c r="AM13" s="3">
        <v>20496.581862851155</v>
      </c>
      <c r="AN13" s="2">
        <v>185155.49730765627</v>
      </c>
      <c r="AO13" s="2"/>
      <c r="AP13" s="2">
        <f t="shared" si="2"/>
        <v>775992.3546210113</v>
      </c>
      <c r="AQ13" s="50"/>
      <c r="AR13" s="50"/>
    </row>
    <row r="14" spans="1:44">
      <c r="A14" s="1" t="s">
        <v>12</v>
      </c>
      <c r="B14" s="2">
        <v>2065.6999999999998</v>
      </c>
      <c r="C14" s="2">
        <v>6</v>
      </c>
      <c r="D14" s="47">
        <v>60637.004899101179</v>
      </c>
      <c r="E14" s="48">
        <v>34132.826974671741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 t="e">
        <f>B14*#REF!</f>
        <v>#REF!</v>
      </c>
      <c r="S14" s="2">
        <v>1</v>
      </c>
      <c r="T14" s="2">
        <v>17026.656586802852</v>
      </c>
      <c r="U14" s="47">
        <f t="shared" si="0"/>
        <v>0.68688001592691961</v>
      </c>
      <c r="V14" s="2"/>
      <c r="W14" s="2">
        <v>0</v>
      </c>
      <c r="X14" s="2"/>
      <c r="Y14" s="2"/>
      <c r="Z14" s="2"/>
      <c r="AA14" s="2"/>
      <c r="AB14" s="2"/>
      <c r="AC14" s="2">
        <v>76300.740000000005</v>
      </c>
      <c r="AD14" s="47">
        <f t="shared" si="1"/>
        <v>3.0780824901970281</v>
      </c>
      <c r="AE14" s="2">
        <f>2350*12+44371.24+1086.74</f>
        <v>73657.98</v>
      </c>
      <c r="AF14" s="2">
        <v>25090.609882177119</v>
      </c>
      <c r="AG14" s="2"/>
      <c r="AH14" s="2">
        <v>461.64</v>
      </c>
      <c r="AI14" s="2">
        <v>183732.12000000002</v>
      </c>
      <c r="AJ14" s="49">
        <v>8924.753999999999</v>
      </c>
      <c r="AK14" s="49">
        <v>2107.2779999999998</v>
      </c>
      <c r="AL14" s="49">
        <v>68044.157999999996</v>
      </c>
      <c r="AM14" s="3">
        <v>10091.95527341651</v>
      </c>
      <c r="AN14" s="2">
        <v>91165.493347100535</v>
      </c>
      <c r="AO14" s="2"/>
      <c r="AP14" s="2">
        <f t="shared" si="2"/>
        <v>651373.21696326998</v>
      </c>
      <c r="AQ14" s="50"/>
      <c r="AR14" s="50"/>
    </row>
    <row r="15" spans="1:44" ht="12.75" customHeight="1">
      <c r="A15" s="1" t="s">
        <v>13</v>
      </c>
      <c r="B15" s="2">
        <v>2061.3000000000002</v>
      </c>
      <c r="C15" s="2">
        <v>7</v>
      </c>
      <c r="D15" s="47">
        <v>68745.062664954879</v>
      </c>
      <c r="E15" s="48">
        <v>34060.12307832254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 t="e">
        <f>B15*#REF!</f>
        <v>#REF!</v>
      </c>
      <c r="S15" s="2">
        <v>1</v>
      </c>
      <c r="T15" s="2">
        <v>16990.389321961913</v>
      </c>
      <c r="U15" s="47">
        <f t="shared" si="0"/>
        <v>0.68688001592691961</v>
      </c>
      <c r="V15" s="2"/>
      <c r="W15" s="2">
        <v>0</v>
      </c>
      <c r="X15" s="2"/>
      <c r="Y15" s="2"/>
      <c r="Z15" s="2"/>
      <c r="AA15" s="2"/>
      <c r="AB15" s="2"/>
      <c r="AC15" s="2">
        <v>75343.22</v>
      </c>
      <c r="AD15" s="47">
        <f t="shared" si="1"/>
        <v>3.0459426898882582</v>
      </c>
      <c r="AE15" s="2">
        <f>2350*12+44276.72+1086.74</f>
        <v>73563.460000000006</v>
      </c>
      <c r="AF15" s="2">
        <v>25036.463609919985</v>
      </c>
      <c r="AG15" s="2"/>
      <c r="AH15" s="2">
        <v>468.72</v>
      </c>
      <c r="AI15" s="2">
        <v>183762.00000000003</v>
      </c>
      <c r="AJ15" s="49">
        <v>8415.89</v>
      </c>
      <c r="AK15" s="49">
        <v>1979.9240000000002</v>
      </c>
      <c r="AL15" s="49">
        <v>64559.916000000005</v>
      </c>
      <c r="AM15" s="3">
        <v>10070.459120440266</v>
      </c>
      <c r="AN15" s="2">
        <v>90971.308242425497</v>
      </c>
      <c r="AO15" s="2"/>
      <c r="AP15" s="2">
        <f t="shared" si="2"/>
        <v>653966.93603802519</v>
      </c>
      <c r="AQ15" s="50"/>
      <c r="AR15" s="50"/>
    </row>
    <row r="16" spans="1:44" ht="12.75" customHeight="1">
      <c r="A16" s="1" t="s">
        <v>16</v>
      </c>
      <c r="B16" s="2">
        <v>2076.6999999999998</v>
      </c>
      <c r="C16" s="2">
        <v>7</v>
      </c>
      <c r="D16" s="47">
        <v>60906.860484466968</v>
      </c>
      <c r="E16" s="48">
        <v>34314.586715544756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 t="e">
        <f>B16*#REF!</f>
        <v>#REF!</v>
      </c>
      <c r="S16" s="2">
        <v>1</v>
      </c>
      <c r="T16" s="2">
        <v>17117.324748905205</v>
      </c>
      <c r="U16" s="47">
        <f t="shared" si="0"/>
        <v>0.68688001592691961</v>
      </c>
      <c r="V16" s="2"/>
      <c r="W16" s="2">
        <v>0</v>
      </c>
      <c r="X16" s="2"/>
      <c r="Y16" s="2"/>
      <c r="Z16" s="2"/>
      <c r="AA16" s="2"/>
      <c r="AB16" s="2"/>
      <c r="AC16" s="2">
        <v>75854.759999999995</v>
      </c>
      <c r="AD16" s="47">
        <f t="shared" si="1"/>
        <v>3.0438821206722206</v>
      </c>
      <c r="AE16" s="2">
        <f>2350*12+44607.52+1086.74</f>
        <v>73894.259999999995</v>
      </c>
      <c r="AF16" s="2">
        <v>25224.337562819976</v>
      </c>
      <c r="AG16" s="2"/>
      <c r="AH16" s="2">
        <v>420.59999999999997</v>
      </c>
      <c r="AI16" s="2">
        <v>184777.92</v>
      </c>
      <c r="AJ16" s="49">
        <v>8847.3119999999981</v>
      </c>
      <c r="AK16" s="49">
        <v>2118.4979999999996</v>
      </c>
      <c r="AL16" s="49">
        <v>67908.09</v>
      </c>
      <c r="AM16" s="3">
        <v>10145.695655857127</v>
      </c>
      <c r="AN16" s="2">
        <v>91650.956108788145</v>
      </c>
      <c r="AO16" s="2"/>
      <c r="AP16" s="2">
        <f t="shared" si="2"/>
        <v>653181.2012763822</v>
      </c>
      <c r="AQ16" s="50"/>
      <c r="AR16" s="50"/>
    </row>
    <row r="17" spans="1:44" ht="12.75" customHeight="1">
      <c r="A17" s="1" t="s">
        <v>14</v>
      </c>
      <c r="B17" s="2">
        <v>18029.8</v>
      </c>
      <c r="C17" s="2">
        <v>12</v>
      </c>
      <c r="D17" s="47">
        <v>621509.92227528419</v>
      </c>
      <c r="E17" s="48">
        <v>297917.43418111856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 t="e">
        <f>B17*#REF!</f>
        <v>#REF!</v>
      </c>
      <c r="S17" s="2">
        <v>6</v>
      </c>
      <c r="T17" s="2">
        <v>162236.3513339101</v>
      </c>
      <c r="U17" s="47">
        <f t="shared" si="0"/>
        <v>0.74985279617591483</v>
      </c>
      <c r="V17" s="2">
        <v>20</v>
      </c>
      <c r="W17" s="2">
        <f t="shared" si="3"/>
        <v>3600</v>
      </c>
      <c r="X17" s="2"/>
      <c r="Y17" s="2"/>
      <c r="Z17" s="2"/>
      <c r="AA17" s="2"/>
      <c r="AB17" s="2"/>
      <c r="AC17" s="2">
        <v>644331.78</v>
      </c>
      <c r="AD17" s="47">
        <f t="shared" si="1"/>
        <v>2.9780871113378962</v>
      </c>
      <c r="AE17" s="2">
        <f>346172.16</f>
        <v>346172.15999999997</v>
      </c>
      <c r="AF17" s="2">
        <v>218927.4305140519</v>
      </c>
      <c r="AG17" s="2"/>
      <c r="AH17" s="2">
        <v>7071.48</v>
      </c>
      <c r="AI17" s="2"/>
      <c r="AJ17" s="49">
        <v>51941.130000000005</v>
      </c>
      <c r="AK17" s="49">
        <v>12984.66</v>
      </c>
      <c r="AL17" s="49">
        <v>131978.136</v>
      </c>
      <c r="AM17" s="3">
        <v>88084.395211620766</v>
      </c>
      <c r="AN17" s="2">
        <v>795708.77278866875</v>
      </c>
      <c r="AO17" s="2"/>
      <c r="AP17" s="2">
        <f t="shared" si="2"/>
        <v>3382463.652304654</v>
      </c>
      <c r="AQ17" s="50"/>
      <c r="AR17" s="50"/>
    </row>
    <row r="18" spans="1:44">
      <c r="A18" s="1" t="s">
        <v>17</v>
      </c>
      <c r="B18" s="2">
        <v>4248.3</v>
      </c>
      <c r="C18" s="2">
        <v>7</v>
      </c>
      <c r="D18" s="47">
        <v>129805.47070086244</v>
      </c>
      <c r="E18" s="48">
        <v>70197.264286439458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 t="e">
        <f>B18*#REF!</f>
        <v>#REF!</v>
      </c>
      <c r="S18" s="2">
        <v>1</v>
      </c>
      <c r="T18" s="2">
        <v>35016.868459948004</v>
      </c>
      <c r="U18" s="47">
        <f t="shared" si="0"/>
        <v>0.68688001592691983</v>
      </c>
      <c r="V18" s="2"/>
      <c r="W18" s="2">
        <v>0</v>
      </c>
      <c r="X18" s="2"/>
      <c r="Y18" s="2"/>
      <c r="Z18" s="2"/>
      <c r="AA18" s="2"/>
      <c r="AB18" s="2"/>
      <c r="AC18" s="2">
        <v>145836.96</v>
      </c>
      <c r="AD18" s="47">
        <f t="shared" si="1"/>
        <v>2.8606925122990372</v>
      </c>
      <c r="AE18" s="2">
        <f>13562.88</f>
        <v>13562.88</v>
      </c>
      <c r="AF18" s="2">
        <v>51567.554006822422</v>
      </c>
      <c r="AG18" s="2"/>
      <c r="AH18" s="2">
        <v>1489.56</v>
      </c>
      <c r="AI18" s="2"/>
      <c r="AJ18" s="49">
        <v>10961.136</v>
      </c>
      <c r="AK18" s="49">
        <v>229.61880000000002</v>
      </c>
      <c r="AL18" s="49">
        <v>28548.576000000001</v>
      </c>
      <c r="AM18" s="3">
        <v>20755.024247497393</v>
      </c>
      <c r="AN18" s="2">
        <v>187490.13186159037</v>
      </c>
      <c r="AO18" s="2"/>
      <c r="AP18" s="2">
        <f t="shared" si="2"/>
        <v>695461.04436316015</v>
      </c>
      <c r="AQ18" s="50"/>
      <c r="AR18" s="50"/>
    </row>
    <row r="19" spans="1:44" ht="12.75" customHeight="1">
      <c r="A19" s="1" t="s">
        <v>18</v>
      </c>
      <c r="B19" s="2">
        <v>7041.4</v>
      </c>
      <c r="C19" s="2">
        <v>8</v>
      </c>
      <c r="D19" s="47">
        <v>217913.60229042507</v>
      </c>
      <c r="E19" s="48">
        <v>116349.36721665955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 t="e">
        <f>B19*#REF!</f>
        <v>#REF!</v>
      </c>
      <c r="S19" s="2">
        <v>2</v>
      </c>
      <c r="T19" s="2">
        <v>59710.692929773744</v>
      </c>
      <c r="U19" s="47">
        <f t="shared" si="0"/>
        <v>0.7066621804585943</v>
      </c>
      <c r="V19" s="2"/>
      <c r="W19" s="2">
        <v>0</v>
      </c>
      <c r="X19" s="2"/>
      <c r="Y19" s="2"/>
      <c r="Z19" s="2"/>
      <c r="AA19" s="2"/>
      <c r="AB19" s="2"/>
      <c r="AC19" s="2">
        <v>241353.83000000002</v>
      </c>
      <c r="AD19" s="47">
        <f t="shared" si="1"/>
        <v>2.8563665132880778</v>
      </c>
      <c r="AE19" s="2">
        <f>135194.69</f>
        <v>135194.69</v>
      </c>
      <c r="AF19" s="2">
        <v>85472.546407146234</v>
      </c>
      <c r="AG19" s="2"/>
      <c r="AH19" s="2">
        <v>2494.92</v>
      </c>
      <c r="AI19" s="2"/>
      <c r="AJ19" s="49">
        <v>19011.432000000001</v>
      </c>
      <c r="AK19" s="49">
        <v>5069.7839999999997</v>
      </c>
      <c r="AL19" s="49">
        <v>48163.175999999999</v>
      </c>
      <c r="AM19" s="3">
        <v>34400.684447032494</v>
      </c>
      <c r="AN19" s="2">
        <v>310757.95364974276</v>
      </c>
      <c r="AO19" s="2"/>
      <c r="AP19" s="2">
        <f t="shared" si="2"/>
        <v>1275892.67894078</v>
      </c>
      <c r="AQ19" s="50"/>
      <c r="AR19" s="50"/>
    </row>
    <row r="20" spans="1:44">
      <c r="A20" s="1" t="s">
        <v>19</v>
      </c>
      <c r="B20" s="2">
        <v>5646.8</v>
      </c>
      <c r="C20" s="2">
        <v>7</v>
      </c>
      <c r="D20" s="47">
        <v>173075.95173123133</v>
      </c>
      <c r="E20" s="48">
        <v>93305.536796522443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 t="e">
        <f>B20*#REF!</f>
        <v>#REF!</v>
      </c>
      <c r="S20" s="2">
        <v>3</v>
      </c>
      <c r="T20" s="2">
        <v>54282.770487233567</v>
      </c>
      <c r="U20" s="47">
        <f t="shared" si="0"/>
        <v>0.80108454474560176</v>
      </c>
      <c r="V20" s="2"/>
      <c r="W20" s="2">
        <v>0</v>
      </c>
      <c r="X20" s="2"/>
      <c r="Y20" s="2"/>
      <c r="Z20" s="2"/>
      <c r="AA20" s="2"/>
      <c r="AB20" s="2"/>
      <c r="AC20" s="2">
        <v>194150.71000000002</v>
      </c>
      <c r="AD20" s="47">
        <f t="shared" si="1"/>
        <v>2.8652025631035869</v>
      </c>
      <c r="AE20" s="2">
        <f>108418.56</f>
        <v>108418.56</v>
      </c>
      <c r="AF20" s="2">
        <v>68543.086386734649</v>
      </c>
      <c r="AG20" s="2"/>
      <c r="AH20" s="2">
        <v>2024.88</v>
      </c>
      <c r="AI20" s="2"/>
      <c r="AJ20" s="49">
        <v>14579.108</v>
      </c>
      <c r="AK20" s="49">
        <v>3731.2039999999997</v>
      </c>
      <c r="AL20" s="49">
        <v>37268.880000000005</v>
      </c>
      <c r="AM20" s="3">
        <v>27587.381051424873</v>
      </c>
      <c r="AN20" s="2">
        <v>249210.10206342032</v>
      </c>
      <c r="AO20" s="2"/>
      <c r="AP20" s="2">
        <f t="shared" si="2"/>
        <v>1026178.1705165673</v>
      </c>
      <c r="AQ20" s="50"/>
      <c r="AR20" s="50"/>
    </row>
    <row r="21" spans="1:44" ht="12.75" customHeight="1">
      <c r="A21" s="1" t="s">
        <v>15</v>
      </c>
      <c r="B21" s="2">
        <v>5225.2</v>
      </c>
      <c r="C21" s="2">
        <v>8</v>
      </c>
      <c r="D21" s="47">
        <v>148908.79831393887</v>
      </c>
      <c r="E21" s="48">
        <v>86339.181637243935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 t="e">
        <f>B21*#REF!</f>
        <v>#REF!</v>
      </c>
      <c r="S21" s="2">
        <v>2</v>
      </c>
      <c r="T21" s="2">
        <v>45877.025510656087</v>
      </c>
      <c r="U21" s="47">
        <f t="shared" si="0"/>
        <v>0.73166299074128094</v>
      </c>
      <c r="V21" s="2">
        <v>15</v>
      </c>
      <c r="W21" s="2">
        <v>2700</v>
      </c>
      <c r="X21" s="2"/>
      <c r="Y21" s="2"/>
      <c r="Z21" s="2"/>
      <c r="AA21" s="2"/>
      <c r="AB21" s="2"/>
      <c r="AC21" s="2">
        <v>225279.39</v>
      </c>
      <c r="AD21" s="47">
        <f t="shared" si="1"/>
        <v>3.5928352024802881</v>
      </c>
      <c r="AE21" s="2">
        <f>100323.84</f>
        <v>100323.84</v>
      </c>
      <c r="AF21" s="2">
        <v>63569.44859045936</v>
      </c>
      <c r="AG21" s="2"/>
      <c r="AH21" s="2">
        <v>1288.56</v>
      </c>
      <c r="AI21" s="2">
        <v>465958.68000000005</v>
      </c>
      <c r="AJ21" s="49">
        <v>48907.08</v>
      </c>
      <c r="AK21" s="49">
        <v>10032.312</v>
      </c>
      <c r="AL21" s="49">
        <v>228236.73600000003</v>
      </c>
      <c r="AM21" s="3">
        <v>25527.658757155419</v>
      </c>
      <c r="AN21" s="2">
        <v>230603.63839728406</v>
      </c>
      <c r="AO21" s="2"/>
      <c r="AP21" s="2">
        <f t="shared" si="2"/>
        <v>1683552.3492067382</v>
      </c>
      <c r="AQ21" s="50"/>
      <c r="AR21" s="50"/>
    </row>
    <row r="22" spans="1:44" ht="12.75" customHeight="1">
      <c r="A22" s="1" t="s">
        <v>20</v>
      </c>
      <c r="B22" s="2">
        <v>2094.9</v>
      </c>
      <c r="C22" s="2">
        <v>10</v>
      </c>
      <c r="D22" s="47">
        <v>75884.187216617647</v>
      </c>
      <c r="E22" s="48">
        <v>34615.31646862557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 t="e">
        <f>B22*#REF!</f>
        <v>#REF!</v>
      </c>
      <c r="S22" s="2">
        <v>1</v>
      </c>
      <c r="T22" s="2">
        <v>17267.33934438365</v>
      </c>
      <c r="U22" s="47">
        <f t="shared" si="0"/>
        <v>0.68688001592691972</v>
      </c>
      <c r="V22" s="2"/>
      <c r="W22" s="2">
        <v>0</v>
      </c>
      <c r="X22" s="2"/>
      <c r="Y22" s="2"/>
      <c r="Z22" s="2"/>
      <c r="AA22" s="2"/>
      <c r="AB22" s="2"/>
      <c r="AC22" s="2">
        <v>77488.89</v>
      </c>
      <c r="AD22" s="47">
        <f t="shared" si="1"/>
        <v>3.08244188266743</v>
      </c>
      <c r="AE22" s="2">
        <f>40222.08</f>
        <v>40222.080000000002</v>
      </c>
      <c r="AF22" s="2">
        <v>25443.803507156343</v>
      </c>
      <c r="AG22" s="2"/>
      <c r="AH22" s="2">
        <v>467.28</v>
      </c>
      <c r="AI22" s="2">
        <v>186401.40000000002</v>
      </c>
      <c r="AJ22" s="49">
        <v>8044.482</v>
      </c>
      <c r="AK22" s="49">
        <v>1885.4520000000002</v>
      </c>
      <c r="AL22" s="49">
        <v>61590.060000000005</v>
      </c>
      <c r="AM22" s="3">
        <v>10234.611561349784</v>
      </c>
      <c r="AN22" s="2">
        <v>92454.176314489479</v>
      </c>
      <c r="AO22" s="2"/>
      <c r="AP22" s="2">
        <f t="shared" si="2"/>
        <v>631999.07841262256</v>
      </c>
      <c r="AQ22" s="50"/>
      <c r="AR22" s="50"/>
    </row>
    <row r="23" spans="1:44" ht="12.75" customHeight="1">
      <c r="A23" s="1" t="s">
        <v>21</v>
      </c>
      <c r="B23" s="2">
        <v>1971.5</v>
      </c>
      <c r="C23" s="2">
        <v>9</v>
      </c>
      <c r="D23" s="47">
        <v>73953.484595332324</v>
      </c>
      <c r="E23" s="48">
        <v>32576.302648286462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 t="e">
        <f>B23*#REF!</f>
        <v>#REF!</v>
      </c>
      <c r="S23" s="2">
        <v>1</v>
      </c>
      <c r="T23" s="2">
        <v>16250.207416799065</v>
      </c>
      <c r="U23" s="47">
        <f t="shared" si="0"/>
        <v>0.68688001592691972</v>
      </c>
      <c r="V23" s="2"/>
      <c r="W23" s="2">
        <v>0</v>
      </c>
      <c r="X23" s="2"/>
      <c r="Y23" s="2"/>
      <c r="Z23" s="2"/>
      <c r="AA23" s="2"/>
      <c r="AB23" s="2"/>
      <c r="AC23" s="2">
        <v>117422.17999999998</v>
      </c>
      <c r="AD23" s="47">
        <f t="shared" si="1"/>
        <v>4.9633181164933626</v>
      </c>
      <c r="AE23" s="2">
        <f>37852.8</f>
        <v>37852.800000000003</v>
      </c>
      <c r="AF23" s="2">
        <v>24090.880398853751</v>
      </c>
      <c r="AG23" s="2"/>
      <c r="AH23" s="2">
        <v>434.64</v>
      </c>
      <c r="AI23" s="2">
        <v>188204.16</v>
      </c>
      <c r="AJ23" s="49">
        <v>7452.66</v>
      </c>
      <c r="AK23" s="49">
        <v>1774.62</v>
      </c>
      <c r="AL23" s="49">
        <v>57252.36</v>
      </c>
      <c r="AM23" s="3">
        <v>9631.7421801523215</v>
      </c>
      <c r="AN23" s="2">
        <v>87008.166787921131</v>
      </c>
      <c r="AO23" s="2"/>
      <c r="AP23" s="2">
        <f t="shared" si="2"/>
        <v>653904.20402734505</v>
      </c>
      <c r="AQ23" s="50"/>
      <c r="AR23" s="50"/>
    </row>
    <row r="24" spans="1:44">
      <c r="A24" s="1" t="s">
        <v>22</v>
      </c>
      <c r="B24" s="2">
        <v>7039.1</v>
      </c>
      <c r="C24" s="2">
        <v>8</v>
      </c>
      <c r="D24" s="47">
        <v>220650.71154075768</v>
      </c>
      <c r="E24" s="48">
        <v>116311.36290720428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>
        <f>17738.04*4</f>
        <v>70952.160000000003</v>
      </c>
      <c r="R24" s="2" t="e">
        <f>B24*#REF!</f>
        <v>#REF!</v>
      </c>
      <c r="S24" s="2">
        <v>2</v>
      </c>
      <c r="T24" s="2">
        <v>58854.867841334169</v>
      </c>
      <c r="U24" s="47">
        <f t="shared" si="0"/>
        <v>0.69676127915659392</v>
      </c>
      <c r="V24" s="2"/>
      <c r="W24" s="2">
        <v>0</v>
      </c>
      <c r="X24" s="2"/>
      <c r="Y24" s="2"/>
      <c r="Z24" s="2"/>
      <c r="AA24" s="2"/>
      <c r="AB24" s="2"/>
      <c r="AC24" s="2">
        <v>244408.36</v>
      </c>
      <c r="AD24" s="47">
        <f t="shared" si="1"/>
        <v>2.8934612852968891</v>
      </c>
      <c r="AE24" s="2">
        <f>135150.72</f>
        <v>135150.72</v>
      </c>
      <c r="AF24" s="2">
        <v>85453.365128466379</v>
      </c>
      <c r="AG24" s="2"/>
      <c r="AH24" s="2">
        <v>2473.6799999999998</v>
      </c>
      <c r="AI24" s="2"/>
      <c r="AJ24" s="49">
        <v>18161.052000000003</v>
      </c>
      <c r="AK24" s="49">
        <v>4648.1759999999995</v>
      </c>
      <c r="AL24" s="49">
        <v>46880.406000000003</v>
      </c>
      <c r="AM24" s="3">
        <v>34389.447821613096</v>
      </c>
      <c r="AN24" s="2">
        <v>310656.44779957179</v>
      </c>
      <c r="AO24" s="2"/>
      <c r="AP24" s="2">
        <f t="shared" si="2"/>
        <v>1278038.5970389475</v>
      </c>
      <c r="AQ24" s="50"/>
      <c r="AR24" s="50"/>
    </row>
    <row r="25" spans="1:44" ht="12.75" customHeight="1">
      <c r="A25" s="1" t="s">
        <v>25</v>
      </c>
      <c r="B25" s="2">
        <v>12406</v>
      </c>
      <c r="C25" s="2">
        <v>11</v>
      </c>
      <c r="D25" s="47">
        <v>435115.09804072673</v>
      </c>
      <c r="E25" s="48">
        <v>204991.94047914879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 t="e">
        <f>B25*#REF!</f>
        <v>#REF!</v>
      </c>
      <c r="S25" s="2">
        <v>5</v>
      </c>
      <c r="T25" s="2">
        <v>120961.57053107239</v>
      </c>
      <c r="U25" s="47">
        <f t="shared" si="0"/>
        <v>0.81252062530947644</v>
      </c>
      <c r="V25" s="2"/>
      <c r="W25" s="2">
        <v>0</v>
      </c>
      <c r="X25" s="2"/>
      <c r="Y25" s="2"/>
      <c r="Z25" s="2"/>
      <c r="AA25" s="2"/>
      <c r="AB25" s="2"/>
      <c r="AC25" s="2">
        <v>436119.22000000003</v>
      </c>
      <c r="AD25" s="47">
        <f t="shared" si="1"/>
        <v>2.9294912407974638</v>
      </c>
      <c r="AE25" s="2">
        <f>238195.2</f>
        <v>238195.20000000001</v>
      </c>
      <c r="AF25" s="2">
        <v>150625.76491411598</v>
      </c>
      <c r="AG25" s="2">
        <v>31710.47</v>
      </c>
      <c r="AH25" s="2">
        <v>3981.24</v>
      </c>
      <c r="AI25" s="2"/>
      <c r="AJ25" s="49">
        <v>36474.959999999999</v>
      </c>
      <c r="AK25" s="49">
        <v>8932.2000000000007</v>
      </c>
      <c r="AL25" s="49">
        <v>93789.36</v>
      </c>
      <c r="AM25" s="3">
        <v>60609.380414389911</v>
      </c>
      <c r="AN25" s="2">
        <v>547513.72922695894</v>
      </c>
      <c r="AO25" s="2"/>
      <c r="AP25" s="2">
        <f t="shared" si="2"/>
        <v>2369020.1336064124</v>
      </c>
      <c r="AQ25" s="50"/>
      <c r="AR25" s="50"/>
    </row>
    <row r="26" spans="1:44">
      <c r="A26" s="1" t="s">
        <v>26</v>
      </c>
      <c r="B26" s="2">
        <v>2303.1</v>
      </c>
      <c r="C26" s="2">
        <v>7</v>
      </c>
      <c r="D26" s="47">
        <v>78547.567877813795</v>
      </c>
      <c r="E26" s="48">
        <v>38055.532654967559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 t="e">
        <f>B26*#REF!</f>
        <v>#REF!</v>
      </c>
      <c r="S26" s="2">
        <v>2</v>
      </c>
      <c r="T26" s="2">
        <v>31117.744376175466</v>
      </c>
      <c r="U26" s="47">
        <f t="shared" si="0"/>
        <v>1.1259369392042415</v>
      </c>
      <c r="V26" s="2"/>
      <c r="W26" s="2">
        <v>0</v>
      </c>
      <c r="X26" s="2"/>
      <c r="Y26" s="2"/>
      <c r="Z26" s="2"/>
      <c r="AA26" s="2"/>
      <c r="AB26" s="2"/>
      <c r="AC26" s="2">
        <v>100284.45</v>
      </c>
      <c r="AD26" s="47">
        <f t="shared" si="1"/>
        <v>3.6286038383048935</v>
      </c>
      <c r="AE26" s="2">
        <f>2350*12+49470.59+1086.74</f>
        <v>78757.33</v>
      </c>
      <c r="AF26" s="2">
        <v>28025.612298960223</v>
      </c>
      <c r="AG26" s="2"/>
      <c r="AH26" s="2">
        <v>1127.1600000000001</v>
      </c>
      <c r="AI26" s="2">
        <v>224607.96000000002</v>
      </c>
      <c r="AJ26" s="49">
        <v>7324.0020000000004</v>
      </c>
      <c r="AK26" s="49">
        <v>1658.3759999999997</v>
      </c>
      <c r="AL26" s="49">
        <v>55688.957999999999</v>
      </c>
      <c r="AM26" s="3">
        <v>11251.770436271272</v>
      </c>
      <c r="AN26" s="2">
        <v>101642.66240388596</v>
      </c>
      <c r="AO26" s="2"/>
      <c r="AP26" s="2">
        <f t="shared" si="2"/>
        <v>758089.12604807434</v>
      </c>
      <c r="AQ26" s="50"/>
      <c r="AR26" s="50"/>
    </row>
    <row r="27" spans="1:44" ht="12.75" customHeight="1">
      <c r="A27" s="1" t="s">
        <v>27</v>
      </c>
      <c r="B27" s="2">
        <v>2856.8</v>
      </c>
      <c r="C27" s="2">
        <v>7</v>
      </c>
      <c r="D27" s="47">
        <v>72711.238352089975</v>
      </c>
      <c r="E27" s="48">
        <v>47204.657066002925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 t="e">
        <f>B27*#REF!</f>
        <v>#REF!</v>
      </c>
      <c r="S27" s="2">
        <v>2</v>
      </c>
      <c r="T27" s="2">
        <v>24592.05195400029</v>
      </c>
      <c r="U27" s="47">
        <f t="shared" si="0"/>
        <v>0.71735426450341544</v>
      </c>
      <c r="V27" s="2"/>
      <c r="W27" s="2">
        <v>0</v>
      </c>
      <c r="X27" s="2"/>
      <c r="Y27" s="2"/>
      <c r="Z27" s="2"/>
      <c r="AA27" s="2"/>
      <c r="AB27" s="2"/>
      <c r="AC27" s="2">
        <v>98049.91</v>
      </c>
      <c r="AD27" s="47">
        <f t="shared" si="1"/>
        <v>2.8601322575375714</v>
      </c>
      <c r="AE27" s="2">
        <f>54850.56</f>
        <v>54850.559999999998</v>
      </c>
      <c r="AF27" s="2">
        <v>34676.539605501093</v>
      </c>
      <c r="AG27" s="2"/>
      <c r="AH27" s="2">
        <v>1039.32</v>
      </c>
      <c r="AI27" s="2"/>
      <c r="AJ27" s="49">
        <v>8230.2960000000003</v>
      </c>
      <c r="AK27" s="49">
        <v>1886.8679999999999</v>
      </c>
      <c r="AL27" s="49">
        <v>18854.88</v>
      </c>
      <c r="AM27" s="3">
        <v>13956.8658687594</v>
      </c>
      <c r="AN27" s="2">
        <v>126079.09250810709</v>
      </c>
      <c r="AO27" s="2"/>
      <c r="AP27" s="2">
        <f t="shared" si="2"/>
        <v>502132.27935446077</v>
      </c>
      <c r="AQ27" s="50"/>
      <c r="AR27" s="50"/>
    </row>
    <row r="28" spans="1:44" ht="12.75" customHeight="1">
      <c r="A28" s="1" t="s">
        <v>28</v>
      </c>
      <c r="B28" s="2">
        <v>4283.1000000000004</v>
      </c>
      <c r="C28" s="2">
        <v>7</v>
      </c>
      <c r="D28" s="47">
        <v>108377.77804365606</v>
      </c>
      <c r="E28" s="48">
        <v>70772.28601211046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>
        <f>10795.8*4</f>
        <v>43183.199999999997</v>
      </c>
      <c r="R28" s="2" t="e">
        <f>B28*#REF!</f>
        <v>#REF!</v>
      </c>
      <c r="S28" s="2">
        <v>2</v>
      </c>
      <c r="T28" s="2">
        <v>47438.013554599078</v>
      </c>
      <c r="U28" s="47">
        <f t="shared" si="0"/>
        <v>0.92296883010356734</v>
      </c>
      <c r="V28" s="2"/>
      <c r="W28" s="2">
        <v>0</v>
      </c>
      <c r="X28" s="2"/>
      <c r="Y28" s="2"/>
      <c r="Z28" s="2"/>
      <c r="AA28" s="2"/>
      <c r="AB28" s="2"/>
      <c r="AC28" s="2">
        <v>146443.13000000003</v>
      </c>
      <c r="AD28" s="47">
        <f t="shared" si="1"/>
        <v>2.849243343995393</v>
      </c>
      <c r="AE28" s="2">
        <f>82235.52</f>
        <v>82235.520000000004</v>
      </c>
      <c r="AF28" s="2">
        <v>51989.23561467437</v>
      </c>
      <c r="AG28" s="2"/>
      <c r="AH28" s="2">
        <v>1542</v>
      </c>
      <c r="AI28" s="2"/>
      <c r="AJ28" s="49">
        <v>11052.072</v>
      </c>
      <c r="AK28" s="49">
        <v>2828.3159999999998</v>
      </c>
      <c r="AL28" s="49">
        <v>28011.474000000006</v>
      </c>
      <c r="AM28" s="3">
        <v>20925.039275582254</v>
      </c>
      <c r="AN28" s="2">
        <v>189025.95950765663</v>
      </c>
      <c r="AO28" s="2"/>
      <c r="AP28" s="2">
        <f t="shared" si="2"/>
        <v>760640.8240082789</v>
      </c>
      <c r="AQ28" s="50"/>
      <c r="AR28" s="50"/>
    </row>
    <row r="29" spans="1:44" ht="12.75" customHeight="1">
      <c r="A29" s="1" t="s">
        <v>23</v>
      </c>
      <c r="B29" s="2">
        <v>8422.7000000000007</v>
      </c>
      <c r="C29" s="2">
        <v>10</v>
      </c>
      <c r="D29" s="47">
        <v>270502.92331458564</v>
      </c>
      <c r="E29" s="48">
        <v>139173.4335864684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>
        <f>21228.57*4</f>
        <v>84914.28</v>
      </c>
      <c r="R29" s="2" t="e">
        <f>B29*#REF!</f>
        <v>#REF!</v>
      </c>
      <c r="S29" s="2">
        <v>2</v>
      </c>
      <c r="T29" s="2">
        <v>73011.051721772004</v>
      </c>
      <c r="U29" s="47">
        <f t="shared" si="0"/>
        <v>0.72236388689466169</v>
      </c>
      <c r="V29" s="2"/>
      <c r="W29" s="2">
        <v>0</v>
      </c>
      <c r="X29" s="2"/>
      <c r="Y29" s="2"/>
      <c r="Z29" s="2"/>
      <c r="AA29" s="2"/>
      <c r="AB29" s="2"/>
      <c r="AC29" s="2">
        <v>293801.56</v>
      </c>
      <c r="AD29" s="47">
        <f t="shared" si="1"/>
        <v>2.906842619745845</v>
      </c>
      <c r="AE29" s="2">
        <f>161715.84</f>
        <v>161715.84</v>
      </c>
      <c r="AF29" s="2">
        <v>102253.43426823511</v>
      </c>
      <c r="AG29" s="2"/>
      <c r="AH29" s="2">
        <v>3432.3599999999997</v>
      </c>
      <c r="AI29" s="2"/>
      <c r="AJ29" s="49">
        <v>28302.737999999998</v>
      </c>
      <c r="AK29" s="49">
        <v>6569.9340000000011</v>
      </c>
      <c r="AL29" s="49">
        <v>67718.508000000002</v>
      </c>
      <c r="AM29" s="3">
        <v>41149.0108347801</v>
      </c>
      <c r="AN29" s="2">
        <v>371718.83662420668</v>
      </c>
      <c r="AO29" s="2"/>
      <c r="AP29" s="2">
        <f t="shared" si="2"/>
        <v>1559349.6303500477</v>
      </c>
      <c r="AQ29" s="50"/>
      <c r="AR29" s="50"/>
    </row>
    <row r="30" spans="1:44">
      <c r="A30" s="1" t="s">
        <v>24</v>
      </c>
      <c r="B30" s="2">
        <v>8336.5</v>
      </c>
      <c r="C30" s="2">
        <v>13</v>
      </c>
      <c r="D30" s="47">
        <v>314096.42401835555</v>
      </c>
      <c r="E30" s="48">
        <v>137749.09816253619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 t="e">
        <f>B30*#REF!</f>
        <v>#REF!</v>
      </c>
      <c r="S30" s="2">
        <v>2</v>
      </c>
      <c r="T30" s="2">
        <v>78826.023033297199</v>
      </c>
      <c r="U30" s="47">
        <f t="shared" si="0"/>
        <v>0.78796080522698564</v>
      </c>
      <c r="V30" s="2"/>
      <c r="W30" s="2">
        <v>0</v>
      </c>
      <c r="X30" s="2"/>
      <c r="Y30" s="2"/>
      <c r="Z30" s="2"/>
      <c r="AA30" s="2"/>
      <c r="AB30" s="2"/>
      <c r="AC30" s="2">
        <v>319604.17</v>
      </c>
      <c r="AD30" s="47">
        <f t="shared" si="1"/>
        <v>3.1948276654871148</v>
      </c>
      <c r="AE30" s="2">
        <f>160060.8</f>
        <v>160060.79999999999</v>
      </c>
      <c r="AF30" s="2">
        <v>101298.67858901562</v>
      </c>
      <c r="AG30" s="2"/>
      <c r="AH30" s="2">
        <v>3596.6400000000003</v>
      </c>
      <c r="AI30" s="2"/>
      <c r="AJ30" s="49">
        <v>21509.360000000001</v>
      </c>
      <c r="AK30" s="49">
        <v>5504.1399999999994</v>
      </c>
      <c r="AL30" s="49">
        <v>55521.090000000004</v>
      </c>
      <c r="AM30" s="3">
        <v>40727.881656018173</v>
      </c>
      <c r="AN30" s="2">
        <v>367914.57389170915</v>
      </c>
      <c r="AO30" s="2"/>
      <c r="AP30" s="2">
        <f t="shared" si="2"/>
        <v>1606408.8793509318</v>
      </c>
      <c r="AQ30" s="50"/>
      <c r="AR30" s="50"/>
    </row>
    <row r="31" spans="1:44" ht="12.75" customHeight="1">
      <c r="A31" s="1" t="s">
        <v>29</v>
      </c>
      <c r="B31" s="2">
        <v>12438.8</v>
      </c>
      <c r="C31" s="2">
        <v>11</v>
      </c>
      <c r="D31" s="47">
        <v>398821.7727316356</v>
      </c>
      <c r="E31" s="48">
        <v>205533.91497920651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 t="e">
        <f>B31*#REF!</f>
        <v>#REF!</v>
      </c>
      <c r="S31" s="2">
        <v>6</v>
      </c>
      <c r="T31" s="2">
        <v>125587.45170534123</v>
      </c>
      <c r="U31" s="47">
        <f t="shared" si="0"/>
        <v>0.8413690207612553</v>
      </c>
      <c r="V31" s="2">
        <v>30</v>
      </c>
      <c r="W31" s="2">
        <f t="shared" si="3"/>
        <v>5400</v>
      </c>
      <c r="X31" s="2"/>
      <c r="Y31" s="2"/>
      <c r="Z31" s="2"/>
      <c r="AA31" s="2"/>
      <c r="AB31" s="2"/>
      <c r="AC31" s="2">
        <v>420612.04000000004</v>
      </c>
      <c r="AD31" s="47">
        <f t="shared" si="1"/>
        <v>2.8178765904535275</v>
      </c>
      <c r="AE31" s="2">
        <f>238663.68</f>
        <v>238663.67999999999</v>
      </c>
      <c r="AF31" s="2">
        <v>150971.87647094193</v>
      </c>
      <c r="AG31" s="2">
        <v>26110.1</v>
      </c>
      <c r="AH31" s="2">
        <v>4390.92</v>
      </c>
      <c r="AI31" s="2"/>
      <c r="AJ31" s="49">
        <v>38053.368000000002</v>
      </c>
      <c r="AK31" s="49">
        <v>9699.5159999999996</v>
      </c>
      <c r="AL31" s="49">
        <v>96276.311999999991</v>
      </c>
      <c r="AM31" s="3">
        <v>60769.624463849199</v>
      </c>
      <c r="AN31" s="2">
        <v>548961.29091635474</v>
      </c>
      <c r="AO31" s="2"/>
      <c r="AP31" s="2">
        <f t="shared" si="2"/>
        <v>2329851.8672673292</v>
      </c>
      <c r="AQ31" s="50"/>
      <c r="AR31" s="50"/>
    </row>
    <row r="32" spans="1:44">
      <c r="A32" s="1" t="s">
        <v>30</v>
      </c>
      <c r="B32" s="2">
        <v>4262</v>
      </c>
      <c r="C32" s="2">
        <v>13</v>
      </c>
      <c r="D32" s="47">
        <v>174642.91396627255</v>
      </c>
      <c r="E32" s="48">
        <v>70423.637781890386</v>
      </c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 t="e">
        <f>B32*#REF!</f>
        <v>#REF!</v>
      </c>
      <c r="S32" s="2">
        <v>3</v>
      </c>
      <c r="T32" s="2">
        <v>52880.095534566382</v>
      </c>
      <c r="U32" s="47">
        <f t="shared" si="0"/>
        <v>1.0339452435195993</v>
      </c>
      <c r="V32" s="2">
        <v>30</v>
      </c>
      <c r="W32" s="2">
        <f t="shared" si="3"/>
        <v>5400</v>
      </c>
      <c r="X32" s="2"/>
      <c r="Y32" s="2"/>
      <c r="Z32" s="2"/>
      <c r="AA32" s="2"/>
      <c r="AB32" s="2"/>
      <c r="AC32" s="2">
        <v>146723.79999999999</v>
      </c>
      <c r="AD32" s="47">
        <f t="shared" si="1"/>
        <v>2.868837009228844</v>
      </c>
      <c r="AE32" s="2">
        <f>75011.2</f>
        <v>75011.199999999997</v>
      </c>
      <c r="AF32" s="2">
        <v>51733.605136350336</v>
      </c>
      <c r="AG32" s="2"/>
      <c r="AH32" s="2">
        <v>1479.72</v>
      </c>
      <c r="AI32" s="2"/>
      <c r="AJ32" s="49">
        <v>10998.279999999999</v>
      </c>
      <c r="AK32" s="49">
        <v>2815.02</v>
      </c>
      <c r="AL32" s="49">
        <v>28129.200000000001</v>
      </c>
      <c r="AM32" s="3">
        <v>20821.955451082526</v>
      </c>
      <c r="AN32" s="2">
        <v>188094.75366478311</v>
      </c>
      <c r="AO32" s="2"/>
      <c r="AP32" s="2">
        <f t="shared" si="2"/>
        <v>829154.18153494527</v>
      </c>
      <c r="AQ32" s="50"/>
      <c r="AR32" s="50"/>
    </row>
    <row r="33" spans="1:44">
      <c r="A33" s="1" t="s">
        <v>31</v>
      </c>
      <c r="B33" s="2">
        <v>2313.5</v>
      </c>
      <c r="C33" s="2">
        <v>7</v>
      </c>
      <c r="D33" s="47">
        <v>71974.67766761416</v>
      </c>
      <c r="E33" s="48">
        <v>38227.378228156595</v>
      </c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 t="e">
        <f>B33*#REF!</f>
        <v>#REF!</v>
      </c>
      <c r="S33" s="2">
        <v>2</v>
      </c>
      <c r="T33" s="2">
        <v>19695.986602163142</v>
      </c>
      <c r="U33" s="47">
        <f t="shared" si="0"/>
        <v>0.70945849010024997</v>
      </c>
      <c r="V33" s="2"/>
      <c r="W33" s="2">
        <v>0</v>
      </c>
      <c r="X33" s="3"/>
      <c r="Y33" s="3"/>
      <c r="Z33" s="3"/>
      <c r="AA33" s="3"/>
      <c r="AB33" s="3"/>
      <c r="AC33" s="2">
        <v>100499.06</v>
      </c>
      <c r="AD33" s="47">
        <f t="shared" si="1"/>
        <v>3.620022332684965</v>
      </c>
      <c r="AE33" s="2">
        <f>2350*5+49693.98+1086.74</f>
        <v>62530.720000000001</v>
      </c>
      <c r="AF33" s="2">
        <v>28147.567124295285</v>
      </c>
      <c r="AG33" s="2"/>
      <c r="AH33" s="2">
        <v>1127.04</v>
      </c>
      <c r="AI33" s="2">
        <v>221849.04000000004</v>
      </c>
      <c r="AJ33" s="49">
        <v>7357.1100000000006</v>
      </c>
      <c r="AK33" s="49">
        <v>1665.9</v>
      </c>
      <c r="AL33" s="49">
        <v>56912.100000000006</v>
      </c>
      <c r="AM33" s="3">
        <v>11302.579525124218</v>
      </c>
      <c r="AN33" s="2">
        <v>102101.64537857244</v>
      </c>
      <c r="AO33" s="2"/>
      <c r="AP33" s="2">
        <f t="shared" si="2"/>
        <v>723390.80452592578</v>
      </c>
      <c r="AQ33" s="50"/>
      <c r="AR33" s="50"/>
    </row>
    <row r="34" spans="1:44" ht="12.75" customHeight="1">
      <c r="A34" s="1" t="s">
        <v>60</v>
      </c>
      <c r="B34" s="2">
        <v>3335.39</v>
      </c>
      <c r="C34" s="2">
        <v>16</v>
      </c>
      <c r="D34" s="47">
        <v>122864.28342483667</v>
      </c>
      <c r="E34" s="48">
        <v>55112.692919131718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 t="e">
        <f>B34*#REF!</f>
        <v>#REF!</v>
      </c>
      <c r="S34" s="2">
        <v>2</v>
      </c>
      <c r="T34" s="2">
        <v>30300.152835869863</v>
      </c>
      <c r="U34" s="47">
        <f t="shared" si="0"/>
        <v>0.7570367292348088</v>
      </c>
      <c r="V34" s="2">
        <v>15</v>
      </c>
      <c r="W34" s="2">
        <f t="shared" si="3"/>
        <v>2700</v>
      </c>
      <c r="X34" s="2"/>
      <c r="Y34" s="2"/>
      <c r="Z34" s="2"/>
      <c r="AA34" s="2"/>
      <c r="AB34" s="2"/>
      <c r="AC34" s="2">
        <v>113757.69</v>
      </c>
      <c r="AD34" s="47">
        <f t="shared" si="1"/>
        <v>2.8421886196216932</v>
      </c>
      <c r="AE34" s="2">
        <f>64039.49</f>
        <v>64039.49</v>
      </c>
      <c r="AF34" s="2">
        <v>40482.842361761512</v>
      </c>
      <c r="AG34" s="2"/>
      <c r="AH34" s="2">
        <v>1492.44</v>
      </c>
      <c r="AI34" s="2"/>
      <c r="AJ34" s="49">
        <v>7802.9879999999994</v>
      </c>
      <c r="AK34" s="49">
        <v>2201.7204000000002</v>
      </c>
      <c r="AL34" s="49">
        <v>18811.599600000001</v>
      </c>
      <c r="AM34" s="3">
        <v>16295.012198964369</v>
      </c>
      <c r="AN34" s="2">
        <v>147200.69460956851</v>
      </c>
      <c r="AO34" s="2"/>
      <c r="AP34" s="2">
        <f t="shared" si="2"/>
        <v>623061.60635013273</v>
      </c>
      <c r="AQ34" s="50"/>
      <c r="AR34" s="50"/>
    </row>
    <row r="35" spans="1:44">
      <c r="A35" s="1" t="s">
        <v>32</v>
      </c>
      <c r="B35" s="2">
        <v>3324.1</v>
      </c>
      <c r="C35" s="2">
        <v>9</v>
      </c>
      <c r="D35" s="47">
        <v>109497.31186494759</v>
      </c>
      <c r="E35" s="48">
        <v>54926.141330544771</v>
      </c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>
        <f>3324.1*0.84*12</f>
        <v>33506.928</v>
      </c>
      <c r="R35" s="2" t="e">
        <f>B35*#REF!</f>
        <v>#REF!</v>
      </c>
      <c r="S35" s="2">
        <v>2</v>
      </c>
      <c r="T35" s="2">
        <v>28410.286331312083</v>
      </c>
      <c r="U35" s="47">
        <f t="shared" ref="U35:U62" si="4">T35/B35/12</f>
        <v>0.71223003548108466</v>
      </c>
      <c r="V35" s="2"/>
      <c r="W35" s="2">
        <v>0</v>
      </c>
      <c r="X35" s="2"/>
      <c r="Y35" s="2"/>
      <c r="Z35" s="2"/>
      <c r="AA35" s="2"/>
      <c r="AB35" s="2"/>
      <c r="AC35" s="2">
        <v>112920.74</v>
      </c>
      <c r="AD35" s="47">
        <f t="shared" ref="AD35:AD62" si="5">AC35/B35/12</f>
        <v>2.8308599821505571</v>
      </c>
      <c r="AE35" s="2">
        <f>63822.72</f>
        <v>63822.720000000001</v>
      </c>
      <c r="AF35" s="2">
        <v>40344.908547719882</v>
      </c>
      <c r="AG35" s="2"/>
      <c r="AH35" s="2">
        <v>1469.76</v>
      </c>
      <c r="AI35" s="2"/>
      <c r="AJ35" s="49">
        <v>7778.76</v>
      </c>
      <c r="AK35" s="49">
        <v>1995.3899999999999</v>
      </c>
      <c r="AL35" s="49">
        <v>18747.924000000003</v>
      </c>
      <c r="AM35" s="3">
        <v>16239.855024623044</v>
      </c>
      <c r="AN35" s="2">
        <v>146702.43328416368</v>
      </c>
      <c r="AO35" s="2"/>
      <c r="AP35" s="2">
        <f t="shared" ref="AP35:AP62" si="6">D35+E35+T35+W35+AC35+AE35+AF35+AG35+AH35+AI35+AJ35+AK35+AL35+AM35+AN35</f>
        <v>602856.23038331117</v>
      </c>
      <c r="AQ35" s="50"/>
      <c r="AR35" s="50"/>
    </row>
    <row r="36" spans="1:44">
      <c r="A36" s="1" t="s">
        <v>33</v>
      </c>
      <c r="B36" s="2">
        <v>13448.1</v>
      </c>
      <c r="C36" s="2">
        <v>12</v>
      </c>
      <c r="D36" s="47">
        <v>426677.72610524407</v>
      </c>
      <c r="E36" s="48">
        <v>222211.19738494608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 t="e">
        <f>B36*#REF!</f>
        <v>#REF!</v>
      </c>
      <c r="S36" s="2">
        <v>2</v>
      </c>
      <c r="T36" s="2">
        <v>113473.81370624171</v>
      </c>
      <c r="U36" s="47">
        <f t="shared" si="4"/>
        <v>0.70315889547124188</v>
      </c>
      <c r="V36" s="2"/>
      <c r="W36" s="2">
        <v>0</v>
      </c>
      <c r="X36" s="2"/>
      <c r="Y36" s="2"/>
      <c r="Z36" s="2"/>
      <c r="AA36" s="2"/>
      <c r="AB36" s="2"/>
      <c r="AC36" s="2">
        <v>515627.60999999993</v>
      </c>
      <c r="AD36" s="47">
        <f t="shared" si="5"/>
        <v>3.1951701355581825</v>
      </c>
      <c r="AE36" s="2">
        <f>258203.71</f>
        <v>258203.71</v>
      </c>
      <c r="AF36" s="2">
        <v>163401.93164119968</v>
      </c>
      <c r="AG36" s="2">
        <v>144719.04999999999</v>
      </c>
      <c r="AH36" s="2">
        <v>5938.68</v>
      </c>
      <c r="AI36" s="2"/>
      <c r="AJ36" s="49">
        <v>45891.113999999994</v>
      </c>
      <c r="AK36" s="49">
        <v>11272.002</v>
      </c>
      <c r="AL36" s="49">
        <v>109736.496</v>
      </c>
      <c r="AM36" s="3">
        <v>65700.548827241408</v>
      </c>
      <c r="AN36" s="2">
        <v>593504.70595011022</v>
      </c>
      <c r="AO36" s="2"/>
      <c r="AP36" s="2">
        <f t="shared" si="6"/>
        <v>2676358.585614983</v>
      </c>
      <c r="AQ36" s="50"/>
      <c r="AR36" s="50"/>
    </row>
    <row r="37" spans="1:44" ht="12.75" customHeight="1">
      <c r="A37" s="1" t="s">
        <v>34</v>
      </c>
      <c r="B37" s="2">
        <v>5598.4</v>
      </c>
      <c r="C37" s="2">
        <v>16</v>
      </c>
      <c r="D37" s="47">
        <v>211081.18475562183</v>
      </c>
      <c r="E37" s="48">
        <v>92505.793936681177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 t="e">
        <f>B37*#REF!</f>
        <v>#REF!</v>
      </c>
      <c r="S37" s="2">
        <v>3</v>
      </c>
      <c r="T37" s="2">
        <v>50975.532973983201</v>
      </c>
      <c r="U37" s="47">
        <f t="shared" si="4"/>
        <v>0.75878127342906321</v>
      </c>
      <c r="V37" s="2">
        <v>15</v>
      </c>
      <c r="W37" s="2">
        <f t="shared" si="3"/>
        <v>2700</v>
      </c>
      <c r="X37" s="2"/>
      <c r="Y37" s="2"/>
      <c r="Z37" s="2"/>
      <c r="AA37" s="2"/>
      <c r="AB37" s="2"/>
      <c r="AC37" s="2">
        <v>195293.38</v>
      </c>
      <c r="AD37" s="47">
        <f t="shared" si="5"/>
        <v>2.9069820543964942</v>
      </c>
      <c r="AE37" s="2">
        <f>107489.28</f>
        <v>107489.28</v>
      </c>
      <c r="AF37" s="2">
        <v>67965.10539190608</v>
      </c>
      <c r="AG37" s="2"/>
      <c r="AH37" s="2">
        <v>1999.3200000000002</v>
      </c>
      <c r="AI37" s="2"/>
      <c r="AJ37" s="49">
        <v>17470.307999999997</v>
      </c>
      <c r="AK37" s="49">
        <v>4367.1480000000001</v>
      </c>
      <c r="AL37" s="49">
        <v>45011.135999999991</v>
      </c>
      <c r="AM37" s="3">
        <v>27350.923368686155</v>
      </c>
      <c r="AN37" s="2">
        <v>247074.06591199475</v>
      </c>
      <c r="AO37" s="2"/>
      <c r="AP37" s="2">
        <f t="shared" si="6"/>
        <v>1071283.178338873</v>
      </c>
      <c r="AQ37" s="50"/>
      <c r="AR37" s="50"/>
    </row>
    <row r="38" spans="1:44">
      <c r="A38" s="1" t="s">
        <v>35</v>
      </c>
      <c r="B38" s="2">
        <v>4141.8</v>
      </c>
      <c r="C38" s="2">
        <v>20</v>
      </c>
      <c r="D38" s="47">
        <v>212157.59558800279</v>
      </c>
      <c r="E38" s="48">
        <v>68437.499522532526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 t="e">
        <f>B38*#REF!</f>
        <v>#REF!</v>
      </c>
      <c r="S38" s="2">
        <v>3</v>
      </c>
      <c r="T38" s="2">
        <v>41336.953799593386</v>
      </c>
      <c r="U38" s="47">
        <f t="shared" si="4"/>
        <v>0.83170267757161509</v>
      </c>
      <c r="V38" s="2"/>
      <c r="W38" s="2">
        <v>0</v>
      </c>
      <c r="X38" s="2"/>
      <c r="Y38" s="2"/>
      <c r="Z38" s="2"/>
      <c r="AA38" s="2"/>
      <c r="AB38" s="2"/>
      <c r="AC38" s="2">
        <v>145365.11000000002</v>
      </c>
      <c r="AD38" s="47">
        <f t="shared" si="5"/>
        <v>2.9247571506752301</v>
      </c>
      <c r="AE38" s="2">
        <f>79522.56</f>
        <v>79522.559999999998</v>
      </c>
      <c r="AF38" s="2">
        <v>50281.30338968931</v>
      </c>
      <c r="AG38" s="2">
        <v>117945.63</v>
      </c>
      <c r="AH38" s="2">
        <v>1502.28</v>
      </c>
      <c r="AI38" s="2"/>
      <c r="AJ38" s="49">
        <v>10686.916000000001</v>
      </c>
      <c r="AK38" s="49">
        <v>2734.6679999999997</v>
      </c>
      <c r="AL38" s="49">
        <v>27335.880000000005</v>
      </c>
      <c r="AM38" s="3">
        <v>20234.719635685971</v>
      </c>
      <c r="AN38" s="2">
        <v>182789.96966888753</v>
      </c>
      <c r="AO38" s="2"/>
      <c r="AP38" s="2">
        <f t="shared" si="6"/>
        <v>960331.08560439164</v>
      </c>
      <c r="AQ38" s="50"/>
      <c r="AR38" s="50"/>
    </row>
    <row r="39" spans="1:44">
      <c r="A39" s="1" t="s">
        <v>36</v>
      </c>
      <c r="B39" s="2">
        <v>7096.1</v>
      </c>
      <c r="C39" s="2">
        <v>13</v>
      </c>
      <c r="D39" s="47">
        <v>363272.1205194713</v>
      </c>
      <c r="E39" s="48">
        <v>117253.20883718265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 t="e">
        <f>B39*#REF!</f>
        <v>#REF!</v>
      </c>
      <c r="S39" s="2">
        <v>3</v>
      </c>
      <c r="T39" s="2">
        <v>60601.17937222818</v>
      </c>
      <c r="U39" s="47">
        <f t="shared" si="4"/>
        <v>0.71167236665478428</v>
      </c>
      <c r="V39" s="2">
        <v>10</v>
      </c>
      <c r="W39" s="2">
        <v>1800</v>
      </c>
      <c r="X39" s="2"/>
      <c r="Y39" s="2"/>
      <c r="Z39" s="2"/>
      <c r="AA39" s="2"/>
      <c r="AB39" s="2"/>
      <c r="AC39" s="3">
        <v>259688.09</v>
      </c>
      <c r="AD39" s="47">
        <f t="shared" si="5"/>
        <v>3.0496574409417376</v>
      </c>
      <c r="AE39" s="2">
        <f>136245.5</f>
        <v>136245.5</v>
      </c>
      <c r="AF39" s="2">
        <v>86184.063982706633</v>
      </c>
      <c r="AG39" s="2"/>
      <c r="AH39" s="2">
        <v>3296.3999999999996</v>
      </c>
      <c r="AI39" s="2"/>
      <c r="AJ39" s="49">
        <v>18314.2264</v>
      </c>
      <c r="AK39" s="49">
        <v>4261.6059999999998</v>
      </c>
      <c r="AL39" s="49">
        <v>45982.728000000003</v>
      </c>
      <c r="AM39" s="3">
        <v>34667.920712441744</v>
      </c>
      <c r="AN39" s="2">
        <v>313172.02756468032</v>
      </c>
      <c r="AO39" s="2"/>
      <c r="AP39" s="2">
        <f t="shared" si="6"/>
        <v>1444739.0713887108</v>
      </c>
      <c r="AQ39" s="50"/>
      <c r="AR39" s="50"/>
    </row>
    <row r="40" spans="1:44" ht="12.75" customHeight="1">
      <c r="A40" s="1" t="s">
        <v>37</v>
      </c>
      <c r="B40" s="2">
        <v>13960.9</v>
      </c>
      <c r="C40" s="2">
        <v>13</v>
      </c>
      <c r="D40" s="47">
        <v>576536.12444847834</v>
      </c>
      <c r="E40" s="48">
        <v>230684.50603218994</v>
      </c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51">
        <f>35056.32*4</f>
        <v>140225.28</v>
      </c>
      <c r="R40" s="2" t="e">
        <f>B40*#REF!</f>
        <v>#REF!</v>
      </c>
      <c r="S40" s="2">
        <v>3</v>
      </c>
      <c r="T40" s="2">
        <v>132155.47537224961</v>
      </c>
      <c r="U40" s="47">
        <f t="shared" si="4"/>
        <v>0.7888428597741407</v>
      </c>
      <c r="V40" s="2">
        <v>20</v>
      </c>
      <c r="W40" s="2">
        <f t="shared" si="3"/>
        <v>3600</v>
      </c>
      <c r="X40" s="2"/>
      <c r="Y40" s="2"/>
      <c r="Z40" s="2"/>
      <c r="AA40" s="2"/>
      <c r="AB40" s="2"/>
      <c r="AC40" s="2">
        <v>512815.77</v>
      </c>
      <c r="AD40" s="47">
        <f t="shared" si="5"/>
        <v>3.0610238236789891</v>
      </c>
      <c r="AE40" s="3">
        <f>16450*12+299880.13+7607.31</f>
        <v>504887.44</v>
      </c>
      <c r="AF40" s="2">
        <v>169579.0450442594</v>
      </c>
      <c r="AG40" s="2">
        <v>16029.02</v>
      </c>
      <c r="AH40" s="2">
        <v>2814.96</v>
      </c>
      <c r="AI40" s="51">
        <v>1243844.6400000001</v>
      </c>
      <c r="AJ40" s="49">
        <v>61878.072</v>
      </c>
      <c r="AK40" s="49">
        <v>15050.585999999999</v>
      </c>
      <c r="AL40" s="49">
        <v>470761.54799999995</v>
      </c>
      <c r="AM40" s="3">
        <v>68205.827746836701</v>
      </c>
      <c r="AN40" s="2">
        <v>616136.09724042006</v>
      </c>
      <c r="AO40" s="2"/>
      <c r="AP40" s="2">
        <f t="shared" si="6"/>
        <v>4624979.1118844338</v>
      </c>
      <c r="AQ40" s="50"/>
      <c r="AR40" s="50"/>
    </row>
    <row r="41" spans="1:44">
      <c r="A41" s="1" t="s">
        <v>38</v>
      </c>
      <c r="B41" s="2">
        <v>15869.5</v>
      </c>
      <c r="C41" s="2">
        <v>13</v>
      </c>
      <c r="D41" s="47">
        <v>548203.72254203726</v>
      </c>
      <c r="E41" s="48">
        <v>262221.47343493887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1">
        <f>39989.39*4</f>
        <v>159957.56</v>
      </c>
      <c r="R41" s="2" t="e">
        <f>B41*#REF!</f>
        <v>#REF!</v>
      </c>
      <c r="S41" s="2">
        <v>3</v>
      </c>
      <c r="T41" s="2">
        <v>141326.88495302704</v>
      </c>
      <c r="U41" s="47">
        <f t="shared" si="4"/>
        <v>0.74213052791532519</v>
      </c>
      <c r="V41" s="2">
        <v>40</v>
      </c>
      <c r="W41" s="2">
        <f t="shared" si="3"/>
        <v>7200</v>
      </c>
      <c r="X41" s="2"/>
      <c r="Y41" s="2"/>
      <c r="Z41" s="2"/>
      <c r="AA41" s="2"/>
      <c r="AB41" s="2"/>
      <c r="AC41" s="2">
        <v>555784.53000000014</v>
      </c>
      <c r="AD41" s="47">
        <f t="shared" si="5"/>
        <v>2.9185152336242486</v>
      </c>
      <c r="AE41" s="2">
        <f>18800*12+340876.86+8694.06</f>
        <v>575170.92000000004</v>
      </c>
      <c r="AF41" s="2">
        <v>192676.21697834626</v>
      </c>
      <c r="AG41" s="2">
        <v>69692.399999999994</v>
      </c>
      <c r="AH41" s="2">
        <v>3932.16</v>
      </c>
      <c r="AI41" s="51">
        <v>1413114.84</v>
      </c>
      <c r="AJ41" s="49">
        <v>64743.75</v>
      </c>
      <c r="AK41" s="49">
        <v>15234.04</v>
      </c>
      <c r="AL41" s="49">
        <v>497984.91</v>
      </c>
      <c r="AM41" s="3">
        <v>77530.272649214952</v>
      </c>
      <c r="AN41" s="2">
        <v>700368.29969105474</v>
      </c>
      <c r="AO41" s="2"/>
      <c r="AP41" s="2">
        <f t="shared" si="6"/>
        <v>5125184.4202486193</v>
      </c>
      <c r="AQ41" s="50"/>
      <c r="AR41" s="50"/>
    </row>
    <row r="42" spans="1:44">
      <c r="A42" s="1" t="s">
        <v>39</v>
      </c>
      <c r="B42" s="2">
        <v>5646.5</v>
      </c>
      <c r="C42" s="2">
        <v>15</v>
      </c>
      <c r="D42" s="47">
        <v>244556.97523344864</v>
      </c>
      <c r="E42" s="48">
        <v>93300.579712680454</v>
      </c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 t="e">
        <f>B42*#REF!</f>
        <v>#REF!</v>
      </c>
      <c r="S42" s="2">
        <v>3</v>
      </c>
      <c r="T42" s="2">
        <v>58012.71211917622</v>
      </c>
      <c r="U42" s="47">
        <f t="shared" si="4"/>
        <v>0.85617509547472215</v>
      </c>
      <c r="V42" s="2">
        <v>60</v>
      </c>
      <c r="W42" s="2">
        <f t="shared" si="3"/>
        <v>10800</v>
      </c>
      <c r="X42" s="2"/>
      <c r="Y42" s="2"/>
      <c r="Z42" s="2"/>
      <c r="AA42" s="2"/>
      <c r="AB42" s="2"/>
      <c r="AC42" s="2">
        <v>207473.39</v>
      </c>
      <c r="AD42" s="47">
        <f t="shared" si="5"/>
        <v>3.0619762980017122</v>
      </c>
      <c r="AE42" s="2">
        <f>7050*12+121286.82+3260.26</f>
        <v>209147.08000000002</v>
      </c>
      <c r="AF42" s="2">
        <v>68586.714359080754</v>
      </c>
      <c r="AG42" s="2"/>
      <c r="AH42" s="2">
        <v>1231.92</v>
      </c>
      <c r="AI42" s="2">
        <v>504075.60000000003</v>
      </c>
      <c r="AJ42" s="49">
        <v>25121.976000000002</v>
      </c>
      <c r="AK42" s="49">
        <v>6111.348</v>
      </c>
      <c r="AL42" s="49">
        <v>190738.77000000002</v>
      </c>
      <c r="AM42" s="3">
        <v>27585.915404631036</v>
      </c>
      <c r="AN42" s="2">
        <v>249196.86216991971</v>
      </c>
      <c r="AO42" s="2"/>
      <c r="AP42" s="2">
        <f t="shared" si="6"/>
        <v>1895939.8429989372</v>
      </c>
      <c r="AQ42" s="50"/>
      <c r="AR42" s="50"/>
    </row>
    <row r="43" spans="1:44" ht="12.75" customHeight="1">
      <c r="A43" s="1" t="s">
        <v>40</v>
      </c>
      <c r="B43" s="2">
        <v>5615.2</v>
      </c>
      <c r="C43" s="2">
        <v>12</v>
      </c>
      <c r="D43" s="47">
        <v>204006.32623145322</v>
      </c>
      <c r="E43" s="48">
        <v>92783.390631832692</v>
      </c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>
        <f>5617.1*0.84*12</f>
        <v>56620.368000000002</v>
      </c>
      <c r="R43" s="2" t="e">
        <f>B43*#REF!</f>
        <v>#REF!</v>
      </c>
      <c r="S43" s="2">
        <v>2</v>
      </c>
      <c r="T43" s="2">
        <v>52835.62398519407</v>
      </c>
      <c r="U43" s="47">
        <f t="shared" si="4"/>
        <v>0.78411608944166533</v>
      </c>
      <c r="V43" s="2">
        <v>35</v>
      </c>
      <c r="W43" s="2">
        <f t="shared" si="3"/>
        <v>6300</v>
      </c>
      <c r="X43" s="2"/>
      <c r="Y43" s="2"/>
      <c r="Z43" s="2"/>
      <c r="AA43" s="2"/>
      <c r="AB43" s="2"/>
      <c r="AC43" s="3">
        <v>206898.40999999997</v>
      </c>
      <c r="AD43" s="47">
        <f t="shared" si="5"/>
        <v>3.070511142375457</v>
      </c>
      <c r="AE43" s="2">
        <f>120614.5</f>
        <v>120614.5</v>
      </c>
      <c r="AF43" s="2">
        <v>68207.042140524267</v>
      </c>
      <c r="AG43" s="2"/>
      <c r="AH43" s="2">
        <v>1308.3600000000001</v>
      </c>
      <c r="AI43" s="2">
        <v>500011.92000000004</v>
      </c>
      <c r="AJ43" s="49">
        <v>24935.735999999997</v>
      </c>
      <c r="AK43" s="49">
        <v>6066.4079999999994</v>
      </c>
      <c r="AL43" s="49">
        <v>191029.10400000002</v>
      </c>
      <c r="AM43" s="3">
        <v>27432.999589140916</v>
      </c>
      <c r="AN43" s="2">
        <v>247815.49994802676</v>
      </c>
      <c r="AO43" s="2"/>
      <c r="AP43" s="2">
        <f t="shared" si="6"/>
        <v>1750245.3205261722</v>
      </c>
      <c r="AQ43" s="50"/>
      <c r="AR43" s="50"/>
    </row>
    <row r="44" spans="1:44">
      <c r="A44" s="1" t="s">
        <v>41</v>
      </c>
      <c r="B44" s="2">
        <v>11898.5</v>
      </c>
      <c r="C44" s="2">
        <v>12</v>
      </c>
      <c r="D44" s="47">
        <v>418888.0058249869</v>
      </c>
      <c r="E44" s="48">
        <v>196606.20697978011</v>
      </c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 t="e">
        <f>B44*#REF!</f>
        <v>#REF!</v>
      </c>
      <c r="S44" s="2">
        <v>2</v>
      </c>
      <c r="T44" s="2">
        <v>104813.30243407744</v>
      </c>
      <c r="U44" s="47">
        <f t="shared" si="4"/>
        <v>0.73407924272021285</v>
      </c>
      <c r="V44" s="2">
        <v>36</v>
      </c>
      <c r="W44" s="2">
        <f t="shared" si="3"/>
        <v>6480</v>
      </c>
      <c r="X44" s="2"/>
      <c r="Y44" s="2"/>
      <c r="Z44" s="2"/>
      <c r="AA44" s="2"/>
      <c r="AB44" s="2"/>
      <c r="AC44" s="2">
        <v>437854.75000000006</v>
      </c>
      <c r="AD44" s="47">
        <f t="shared" si="5"/>
        <v>3.0665962796430928</v>
      </c>
      <c r="AE44" s="2">
        <f>14100*12+255579.78+6520.54</f>
        <v>431300.32</v>
      </c>
      <c r="AF44" s="2">
        <v>144530.19146627511</v>
      </c>
      <c r="AG44" s="2">
        <v>20361.07</v>
      </c>
      <c r="AH44" s="2">
        <v>2718.7200000000003</v>
      </c>
      <c r="AI44" s="51">
        <v>1063359.48</v>
      </c>
      <c r="AJ44" s="49">
        <v>47833.56</v>
      </c>
      <c r="AK44" s="49">
        <v>12136.650000000001</v>
      </c>
      <c r="AL44" s="49">
        <v>367663.64999999997</v>
      </c>
      <c r="AM44" s="3">
        <v>58129.994588152374</v>
      </c>
      <c r="AN44" s="2">
        <v>525116.24272182584</v>
      </c>
      <c r="AO44" s="2"/>
      <c r="AP44" s="2">
        <f t="shared" si="6"/>
        <v>3837792.144015098</v>
      </c>
      <c r="AQ44" s="50"/>
      <c r="AR44" s="50"/>
    </row>
    <row r="45" spans="1:44">
      <c r="A45" s="1" t="s">
        <v>42</v>
      </c>
      <c r="B45" s="2">
        <v>5657.2</v>
      </c>
      <c r="C45" s="2">
        <v>13</v>
      </c>
      <c r="D45" s="47">
        <v>237724.90312103176</v>
      </c>
      <c r="E45" s="48">
        <v>93477.382369711471</v>
      </c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 t="e">
        <f>B45*#REF!</f>
        <v>#REF!</v>
      </c>
      <c r="S45" s="2">
        <v>2</v>
      </c>
      <c r="T45" s="2">
        <v>50748.211513221235</v>
      </c>
      <c r="U45" s="47">
        <f t="shared" si="4"/>
        <v>0.74754606980516325</v>
      </c>
      <c r="V45" s="2">
        <v>22</v>
      </c>
      <c r="W45" s="2">
        <f t="shared" si="3"/>
        <v>3960</v>
      </c>
      <c r="X45" s="2"/>
      <c r="Y45" s="2"/>
      <c r="Z45" s="2"/>
      <c r="AA45" s="2"/>
      <c r="AB45" s="2"/>
      <c r="AC45" s="2">
        <v>208445.27</v>
      </c>
      <c r="AD45" s="47">
        <f t="shared" si="5"/>
        <v>3.0705011607626855</v>
      </c>
      <c r="AE45" s="2">
        <f>7050*12+121516.66+3260.26</f>
        <v>209376.92</v>
      </c>
      <c r="AF45" s="2">
        <v>68712.558812069707</v>
      </c>
      <c r="AG45" s="2"/>
      <c r="AH45" s="2">
        <v>1206.3600000000001</v>
      </c>
      <c r="AI45" s="2">
        <v>503826.60000000003</v>
      </c>
      <c r="AJ45" s="49">
        <v>24444.623999999996</v>
      </c>
      <c r="AK45" s="49">
        <v>5772.4079999999994</v>
      </c>
      <c r="AL45" s="49">
        <v>188724.19199999998</v>
      </c>
      <c r="AM45" s="3">
        <v>27638.190140277817</v>
      </c>
      <c r="AN45" s="2">
        <v>249669.08503810674</v>
      </c>
      <c r="AO45" s="2"/>
      <c r="AP45" s="2">
        <f t="shared" si="6"/>
        <v>1873726.7049944189</v>
      </c>
      <c r="AQ45" s="50"/>
      <c r="AR45" s="50"/>
    </row>
    <row r="46" spans="1:44" ht="12.75" customHeight="1">
      <c r="A46" s="1" t="s">
        <v>43</v>
      </c>
      <c r="B46" s="2">
        <v>2862.9</v>
      </c>
      <c r="C46" s="2">
        <v>10</v>
      </c>
      <c r="D46" s="47">
        <v>106875.41674033829</v>
      </c>
      <c r="E46" s="48">
        <v>47305.451104123422</v>
      </c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 t="e">
        <f>B46*#REF!</f>
        <v>#REF!</v>
      </c>
      <c r="S46" s="2">
        <v>3</v>
      </c>
      <c r="T46" s="2">
        <v>35682.425571166139</v>
      </c>
      <c r="U46" s="47">
        <f t="shared" si="4"/>
        <v>1.0386445437367162</v>
      </c>
      <c r="V46" s="2">
        <v>12</v>
      </c>
      <c r="W46" s="2">
        <f t="shared" si="3"/>
        <v>2160</v>
      </c>
      <c r="X46" s="2"/>
      <c r="Y46" s="2"/>
      <c r="Z46" s="2"/>
      <c r="AA46" s="2"/>
      <c r="AB46" s="2"/>
      <c r="AC46" s="2">
        <v>98681.71</v>
      </c>
      <c r="AD46" s="47">
        <f t="shared" si="5"/>
        <v>2.8724285980416133</v>
      </c>
      <c r="AE46" s="2">
        <f>13701.12+8009.12</f>
        <v>21710.240000000002</v>
      </c>
      <c r="AF46" s="2">
        <v>34751.073501130304</v>
      </c>
      <c r="AG46" s="2"/>
      <c r="AH46" s="2">
        <v>1090.32</v>
      </c>
      <c r="AI46" s="2"/>
      <c r="AJ46" s="49">
        <v>7386.2880000000005</v>
      </c>
      <c r="AK46" s="49">
        <v>1890.204</v>
      </c>
      <c r="AL46" s="49">
        <v>18895.140000000003</v>
      </c>
      <c r="AM46" s="3">
        <v>13986.667353567376</v>
      </c>
      <c r="AN46" s="2">
        <v>126348.30367595203</v>
      </c>
      <c r="AO46" s="2"/>
      <c r="AP46" s="2">
        <f t="shared" si="6"/>
        <v>516763.23994627764</v>
      </c>
      <c r="AQ46" s="50"/>
      <c r="AR46" s="50"/>
    </row>
    <row r="47" spans="1:44">
      <c r="A47" s="1" t="s">
        <v>44</v>
      </c>
      <c r="B47" s="2">
        <v>4056.4</v>
      </c>
      <c r="C47" s="2">
        <v>8</v>
      </c>
      <c r="D47" s="47">
        <v>114058.82455252652</v>
      </c>
      <c r="E47" s="48">
        <v>67026.382988845653</v>
      </c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>
        <f>9197.1*4</f>
        <v>36788.400000000001</v>
      </c>
      <c r="R47" s="2" t="e">
        <f>B47*#REF!</f>
        <v>#REF!</v>
      </c>
      <c r="S47" s="2">
        <v>2</v>
      </c>
      <c r="T47" s="2">
        <v>83994.721159271474</v>
      </c>
      <c r="U47" s="47">
        <f t="shared" si="4"/>
        <v>1.7255596333216536</v>
      </c>
      <c r="V47" s="2"/>
      <c r="W47" s="2">
        <v>0</v>
      </c>
      <c r="X47" s="2"/>
      <c r="Y47" s="2"/>
      <c r="Z47" s="2"/>
      <c r="AA47" s="2"/>
      <c r="AB47" s="2"/>
      <c r="AC47" s="2">
        <v>195644.42</v>
      </c>
      <c r="AD47" s="47">
        <f t="shared" si="5"/>
        <v>4.0192539361667157</v>
      </c>
      <c r="AE47" s="2">
        <f>4700*12+78374.08+2173.6</f>
        <v>136947.68000000002</v>
      </c>
      <c r="AF47" s="2">
        <v>49416.480050880229</v>
      </c>
      <c r="AG47" s="2"/>
      <c r="AH47" s="2">
        <v>1117.1999999999998</v>
      </c>
      <c r="AI47" s="2">
        <v>331951.86000000004</v>
      </c>
      <c r="AJ47" s="49">
        <v>44015.277000000002</v>
      </c>
      <c r="AK47" s="49">
        <v>11169.894</v>
      </c>
      <c r="AL47" s="49">
        <v>164527.584</v>
      </c>
      <c r="AM47" s="3">
        <v>19817.498848374275</v>
      </c>
      <c r="AN47" s="2">
        <v>179021.01331905823</v>
      </c>
      <c r="AO47" s="2"/>
      <c r="AP47" s="2">
        <f t="shared" si="6"/>
        <v>1398708.8359189564</v>
      </c>
      <c r="AQ47" s="50"/>
      <c r="AR47" s="50"/>
    </row>
    <row r="48" spans="1:44">
      <c r="A48" s="1" t="s">
        <v>45</v>
      </c>
      <c r="B48" s="2">
        <v>13791.9</v>
      </c>
      <c r="C48" s="2">
        <v>12</v>
      </c>
      <c r="D48" s="47">
        <v>447223.71736422204</v>
      </c>
      <c r="E48" s="48">
        <v>227892.01546786816</v>
      </c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>
        <f>13791.4*0.74*9</f>
        <v>91850.724000000002</v>
      </c>
      <c r="R48" s="2" t="e">
        <f>B48*#REF!</f>
        <v>#REF!</v>
      </c>
      <c r="S48" s="2">
        <v>4</v>
      </c>
      <c r="T48" s="2">
        <v>164206.54269994982</v>
      </c>
      <c r="U48" s="47">
        <f t="shared" si="4"/>
        <v>0.99216776211610813</v>
      </c>
      <c r="V48" s="2">
        <v>8</v>
      </c>
      <c r="W48" s="2">
        <f t="shared" si="3"/>
        <v>1440</v>
      </c>
      <c r="X48" s="2"/>
      <c r="Y48" s="2"/>
      <c r="Z48" s="2"/>
      <c r="AA48" s="2"/>
      <c r="AB48" s="2"/>
      <c r="AC48" s="3">
        <v>461911.72</v>
      </c>
      <c r="AD48" s="47">
        <f t="shared" si="5"/>
        <v>2.7909601529400105</v>
      </c>
      <c r="AE48" s="2">
        <f>264794.88</f>
        <v>264794.88</v>
      </c>
      <c r="AF48" s="2">
        <v>167376.21933256456</v>
      </c>
      <c r="AG48" s="2"/>
      <c r="AH48" s="2">
        <v>5084.76</v>
      </c>
      <c r="AI48" s="2"/>
      <c r="AJ48" s="49">
        <v>38892.755999999994</v>
      </c>
      <c r="AK48" s="49">
        <v>9930.7439999999988</v>
      </c>
      <c r="AL48" s="49">
        <v>97646.651999999987</v>
      </c>
      <c r="AM48" s="3">
        <v>67380.180052976313</v>
      </c>
      <c r="AN48" s="2">
        <v>608677.62390176498</v>
      </c>
      <c r="AO48" s="2"/>
      <c r="AP48" s="2">
        <f t="shared" si="6"/>
        <v>2562457.810819346</v>
      </c>
      <c r="AQ48" s="50"/>
      <c r="AR48" s="50"/>
    </row>
    <row r="49" spans="1:44" ht="12.75" customHeight="1">
      <c r="A49" s="1" t="s">
        <v>47</v>
      </c>
      <c r="B49" s="2">
        <v>4281.5</v>
      </c>
      <c r="C49" s="2">
        <v>10</v>
      </c>
      <c r="D49" s="47">
        <v>136221.94552214828</v>
      </c>
      <c r="E49" s="48">
        <v>70745.848231619821</v>
      </c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 t="e">
        <f>B49*#REF!</f>
        <v>#REF!</v>
      </c>
      <c r="S49" s="2">
        <v>4</v>
      </c>
      <c r="T49" s="2">
        <v>49952.524658293281</v>
      </c>
      <c r="U49" s="47">
        <f t="shared" si="4"/>
        <v>0.97225514146703418</v>
      </c>
      <c r="V49" s="2">
        <v>40</v>
      </c>
      <c r="W49" s="2">
        <f t="shared" si="3"/>
        <v>7200</v>
      </c>
      <c r="X49" s="2"/>
      <c r="Y49" s="2"/>
      <c r="Z49" s="2"/>
      <c r="AA49" s="2"/>
      <c r="AB49" s="2"/>
      <c r="AC49" s="2">
        <v>146441.66</v>
      </c>
      <c r="AD49" s="47">
        <f t="shared" si="5"/>
        <v>2.850279497060999</v>
      </c>
      <c r="AE49" s="2">
        <f>82202.88</f>
        <v>82202.880000000005</v>
      </c>
      <c r="AF49" s="2">
        <v>51969.863733853585</v>
      </c>
      <c r="AG49" s="2">
        <v>31408.47</v>
      </c>
      <c r="AH49" s="2">
        <v>1493.8799999999999</v>
      </c>
      <c r="AI49" s="2"/>
      <c r="AJ49" s="49">
        <v>11046.54</v>
      </c>
      <c r="AK49" s="49">
        <v>2826.96</v>
      </c>
      <c r="AL49" s="49">
        <v>28001.010000000006</v>
      </c>
      <c r="AM49" s="3">
        <v>20917.222492681798</v>
      </c>
      <c r="AN49" s="2">
        <v>188955.34674232022</v>
      </c>
      <c r="AO49" s="2"/>
      <c r="AP49" s="2">
        <f t="shared" si="6"/>
        <v>829384.15138091694</v>
      </c>
      <c r="AQ49" s="50"/>
      <c r="AR49" s="50"/>
    </row>
    <row r="50" spans="1:44">
      <c r="A50" s="1" t="s">
        <v>46</v>
      </c>
      <c r="B50" s="2">
        <v>1859.6</v>
      </c>
      <c r="C50" s="2">
        <v>11</v>
      </c>
      <c r="D50" s="47">
        <v>54603.583722383963</v>
      </c>
      <c r="E50" s="48">
        <v>30727.310375223689</v>
      </c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 t="e">
        <f>B50*#REF!</f>
        <v>#REF!</v>
      </c>
      <c r="S50" s="2">
        <v>2</v>
      </c>
      <c r="T50" s="2">
        <v>21047.864931412398</v>
      </c>
      <c r="U50" s="47">
        <f t="shared" si="4"/>
        <v>0.94320754155967235</v>
      </c>
      <c r="V50" s="2"/>
      <c r="W50" s="2">
        <v>0</v>
      </c>
      <c r="X50" s="2"/>
      <c r="Y50" s="2"/>
      <c r="Z50" s="2"/>
      <c r="AA50" s="2"/>
      <c r="AB50" s="2"/>
      <c r="AC50" s="2">
        <v>69421.039999999994</v>
      </c>
      <c r="AD50" s="47">
        <f t="shared" si="5"/>
        <v>3.1109306660930667</v>
      </c>
      <c r="AE50" s="2">
        <f>35704.32</f>
        <v>35704.32</v>
      </c>
      <c r="AF50" s="2">
        <v>22587.789283950511</v>
      </c>
      <c r="AG50" s="2"/>
      <c r="AH50" s="2">
        <v>1127.04</v>
      </c>
      <c r="AI50" s="2">
        <v>165057.12000000002</v>
      </c>
      <c r="AJ50" s="49">
        <v>9422.0519999999997</v>
      </c>
      <c r="AK50" s="49">
        <v>1896.924</v>
      </c>
      <c r="AL50" s="49">
        <v>62036.255999999994</v>
      </c>
      <c r="AM50" s="3">
        <v>9085.0559260518676</v>
      </c>
      <c r="AN50" s="2">
        <v>82069.686512208034</v>
      </c>
      <c r="AO50" s="2"/>
      <c r="AP50" s="2">
        <f t="shared" si="6"/>
        <v>564786.04275123053</v>
      </c>
      <c r="AQ50" s="50"/>
      <c r="AR50" s="50"/>
    </row>
    <row r="51" spans="1:44">
      <c r="A51" s="1" t="s">
        <v>48</v>
      </c>
      <c r="B51" s="2">
        <v>4201</v>
      </c>
      <c r="C51" s="2">
        <v>11</v>
      </c>
      <c r="D51" s="47">
        <v>140304.61488378953</v>
      </c>
      <c r="E51" s="48">
        <v>69415.697400685487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 t="e">
        <f>B51*#REF!</f>
        <v>#REF!</v>
      </c>
      <c r="S51" s="2">
        <v>2</v>
      </c>
      <c r="T51" s="2">
        <v>35880.642562907873</v>
      </c>
      <c r="U51" s="47">
        <f t="shared" si="4"/>
        <v>0.71174804734800989</v>
      </c>
      <c r="V51" s="2"/>
      <c r="W51" s="2">
        <v>0</v>
      </c>
      <c r="X51" s="2"/>
      <c r="Y51" s="2"/>
      <c r="Z51" s="2"/>
      <c r="AA51" s="2"/>
      <c r="AB51" s="2"/>
      <c r="AC51" s="2">
        <v>143877.19000000003</v>
      </c>
      <c r="AD51" s="47">
        <f t="shared" si="5"/>
        <v>2.8540266206458789</v>
      </c>
      <c r="AE51" s="2">
        <f>13390.08+26941.44</f>
        <v>40331.519999999997</v>
      </c>
      <c r="AF51" s="2">
        <v>50993.882180058135</v>
      </c>
      <c r="AG51" s="2"/>
      <c r="AH51" s="2">
        <v>1978.08</v>
      </c>
      <c r="AI51" s="2"/>
      <c r="AJ51" s="49">
        <v>10839.06</v>
      </c>
      <c r="AK51" s="49">
        <v>2774.1000000000004</v>
      </c>
      <c r="AL51" s="49">
        <v>27978.66</v>
      </c>
      <c r="AM51" s="3">
        <v>20523.940603002742</v>
      </c>
      <c r="AN51" s="2">
        <v>185402.64198633362</v>
      </c>
      <c r="AO51" s="2"/>
      <c r="AP51" s="2">
        <f t="shared" si="6"/>
        <v>730300.02961677755</v>
      </c>
      <c r="AQ51" s="50"/>
      <c r="AR51" s="50"/>
    </row>
    <row r="52" spans="1:44" ht="12.75" customHeight="1">
      <c r="A52" s="1" t="s">
        <v>49</v>
      </c>
      <c r="B52" s="2">
        <v>1391.2</v>
      </c>
      <c r="C52" s="2">
        <v>10</v>
      </c>
      <c r="D52" s="47">
        <v>61963.827850989772</v>
      </c>
      <c r="E52" s="48">
        <v>22987.650136594537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 t="e">
        <f>B52*#REF!</f>
        <v>#REF!</v>
      </c>
      <c r="S52" s="2">
        <v>1</v>
      </c>
      <c r="T52" s="2">
        <v>11467.049737890367</v>
      </c>
      <c r="U52" s="47">
        <f t="shared" si="4"/>
        <v>0.68688001592691961</v>
      </c>
      <c r="V52" s="2"/>
      <c r="W52" s="2">
        <v>0</v>
      </c>
      <c r="X52" s="2"/>
      <c r="Y52" s="2"/>
      <c r="Z52" s="2"/>
      <c r="AA52" s="2"/>
      <c r="AB52" s="2"/>
      <c r="AC52" s="2">
        <v>49180.27</v>
      </c>
      <c r="AD52" s="47">
        <f t="shared" si="5"/>
        <v>2.9459141987732411</v>
      </c>
      <c r="AE52" s="2">
        <f>26711.04</f>
        <v>26711.040000000001</v>
      </c>
      <c r="AF52" s="2">
        <v>16888.871973667432</v>
      </c>
      <c r="AG52" s="2"/>
      <c r="AH52" s="2">
        <v>996.83999999999992</v>
      </c>
      <c r="AI52" s="2"/>
      <c r="AJ52" s="49">
        <v>4341.0840000000007</v>
      </c>
      <c r="AK52" s="49">
        <v>1085.0040000000001</v>
      </c>
      <c r="AL52" s="49">
        <v>11185.248</v>
      </c>
      <c r="AM52" s="3">
        <v>6796.6927319441602</v>
      </c>
      <c r="AN52" s="2">
        <v>61397.7994599827</v>
      </c>
      <c r="AO52" s="2"/>
      <c r="AP52" s="2">
        <f t="shared" si="6"/>
        <v>275001.37789106899</v>
      </c>
      <c r="AQ52" s="50"/>
      <c r="AR52" s="50"/>
    </row>
    <row r="53" spans="1:44">
      <c r="A53" s="1" t="s">
        <v>83</v>
      </c>
      <c r="B53" s="2">
        <v>3432.1</v>
      </c>
      <c r="C53" s="2">
        <v>5</v>
      </c>
      <c r="D53" s="47">
        <v>89171.091866720788</v>
      </c>
      <c r="E53" s="48">
        <v>56710.691513661666</v>
      </c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 t="e">
        <f>B53*#REF!</f>
        <v>#REF!</v>
      </c>
      <c r="S53" s="2">
        <v>1</v>
      </c>
      <c r="T53" s="2">
        <v>28289.290831953374</v>
      </c>
      <c r="U53" s="47">
        <f t="shared" si="4"/>
        <v>0.68688001592691972</v>
      </c>
      <c r="V53" s="2"/>
      <c r="W53" s="2">
        <v>0</v>
      </c>
      <c r="X53" s="2"/>
      <c r="Y53" s="2"/>
      <c r="Z53" s="2"/>
      <c r="AA53" s="2"/>
      <c r="AB53" s="2"/>
      <c r="AC53" s="2">
        <v>121427.65999999999</v>
      </c>
      <c r="AD53" s="47">
        <f t="shared" si="5"/>
        <v>2.9483324106717945</v>
      </c>
      <c r="AE53" s="2">
        <f>65896.32</f>
        <v>65896.320000000007</v>
      </c>
      <c r="AF53" s="2">
        <v>41663.867303122483</v>
      </c>
      <c r="AG53" s="2"/>
      <c r="AH53" s="2">
        <v>1098.24</v>
      </c>
      <c r="AI53" s="2"/>
      <c r="AJ53" s="49"/>
      <c r="AK53" s="49">
        <v>3295.0079999999998</v>
      </c>
      <c r="AL53" s="49">
        <v>18327.414000000001</v>
      </c>
      <c r="AM53" s="3">
        <v>16767.487870403646</v>
      </c>
      <c r="AN53" s="2">
        <v>151468.79494436935</v>
      </c>
      <c r="AO53" s="2"/>
      <c r="AP53" s="2">
        <f t="shared" si="6"/>
        <v>594115.86633023131</v>
      </c>
      <c r="AQ53" s="50"/>
      <c r="AR53" s="50"/>
    </row>
    <row r="54" spans="1:44">
      <c r="A54" s="1" t="s">
        <v>50</v>
      </c>
      <c r="B54" s="2">
        <v>3672.8</v>
      </c>
      <c r="C54" s="2">
        <v>11</v>
      </c>
      <c r="D54" s="47">
        <v>124880.10352104314</v>
      </c>
      <c r="E54" s="48">
        <v>60687.92511621939</v>
      </c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 t="e">
        <f>B54*#REF!</f>
        <v>#REF!</v>
      </c>
      <c r="S54" s="2">
        <v>1</v>
      </c>
      <c r="T54" s="2">
        <v>30273.27506995669</v>
      </c>
      <c r="U54" s="47">
        <f t="shared" si="4"/>
        <v>0.68688001592691972</v>
      </c>
      <c r="V54" s="2"/>
      <c r="W54" s="2">
        <v>0</v>
      </c>
      <c r="X54" s="2"/>
      <c r="Y54" s="2"/>
      <c r="Z54" s="2"/>
      <c r="AA54" s="2"/>
      <c r="AB54" s="2"/>
      <c r="AC54" s="3">
        <v>149046.21</v>
      </c>
      <c r="AD54" s="47">
        <f t="shared" si="5"/>
        <v>3.3817571062949248</v>
      </c>
      <c r="AE54" s="2">
        <f>4700*12+78891.74+2173.6</f>
        <v>137465.34</v>
      </c>
      <c r="AF54" s="2">
        <v>44656.912424098431</v>
      </c>
      <c r="AG54" s="2"/>
      <c r="AH54" s="2">
        <v>2140.92</v>
      </c>
      <c r="AI54" s="2">
        <v>351279.24000000005</v>
      </c>
      <c r="AJ54" s="49">
        <v>11679.234</v>
      </c>
      <c r="AK54" s="49">
        <v>2644.3919999999998</v>
      </c>
      <c r="AL54" s="49">
        <v>91011.984000000011</v>
      </c>
      <c r="AM54" s="3">
        <v>17943.425147990591</v>
      </c>
      <c r="AN54" s="2">
        <v>162091.60282966105</v>
      </c>
      <c r="AO54" s="2"/>
      <c r="AP54" s="2">
        <f t="shared" si="6"/>
        <v>1185800.5641089696</v>
      </c>
      <c r="AQ54" s="50"/>
      <c r="AR54" s="50"/>
    </row>
    <row r="55" spans="1:44" ht="12.75" customHeight="1">
      <c r="A55" s="1" t="s">
        <v>51</v>
      </c>
      <c r="B55" s="2">
        <v>6934.5</v>
      </c>
      <c r="C55" s="2">
        <v>13</v>
      </c>
      <c r="D55" s="47">
        <v>229631.20424718841</v>
      </c>
      <c r="E55" s="48">
        <v>114582.99300762996</v>
      </c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 t="e">
        <f>B55*#REF!</f>
        <v>#REF!</v>
      </c>
      <c r="S55" s="2">
        <v>3</v>
      </c>
      <c r="T55" s="2">
        <v>59020.881645342692</v>
      </c>
      <c r="U55" s="47">
        <f t="shared" si="4"/>
        <v>0.70926624901269841</v>
      </c>
      <c r="V55" s="2"/>
      <c r="W55" s="2">
        <v>0</v>
      </c>
      <c r="X55" s="2"/>
      <c r="Y55" s="2"/>
      <c r="Z55" s="2"/>
      <c r="AA55" s="2"/>
      <c r="AB55" s="2"/>
      <c r="AC55" s="2">
        <v>239033.06999999998</v>
      </c>
      <c r="AD55" s="47">
        <f t="shared" si="5"/>
        <v>2.8725102747133895</v>
      </c>
      <c r="AE55" s="2">
        <f>133142.4</f>
        <v>133142.39999999999</v>
      </c>
      <c r="AF55" s="2">
        <v>84175.556019807933</v>
      </c>
      <c r="AG55" s="2"/>
      <c r="AH55" s="2">
        <v>2949.48</v>
      </c>
      <c r="AI55" s="2"/>
      <c r="AJ55" s="49">
        <v>24956.652000000002</v>
      </c>
      <c r="AK55" s="49">
        <v>5823.5640000000003</v>
      </c>
      <c r="AL55" s="49">
        <v>59498.009999999987</v>
      </c>
      <c r="AM55" s="3">
        <v>33878.425639495959</v>
      </c>
      <c r="AN55" s="2">
        <v>306040.13826570584</v>
      </c>
      <c r="AO55" s="2"/>
      <c r="AP55" s="2">
        <f t="shared" si="6"/>
        <v>1292732.3748251707</v>
      </c>
      <c r="AQ55" s="50"/>
      <c r="AR55" s="50"/>
    </row>
    <row r="56" spans="1:44">
      <c r="A56" s="1" t="s">
        <v>52</v>
      </c>
      <c r="B56" s="2">
        <v>5221.7</v>
      </c>
      <c r="C56" s="2">
        <v>16</v>
      </c>
      <c r="D56" s="47">
        <v>181656.78557314066</v>
      </c>
      <c r="E56" s="48">
        <v>86281.34899242071</v>
      </c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 t="e">
        <f>B56*#REF!</f>
        <v>#REF!</v>
      </c>
      <c r="S56" s="2">
        <v>1</v>
      </c>
      <c r="T56" s="2">
        <v>43040.176549987154</v>
      </c>
      <c r="U56" s="47">
        <f t="shared" si="4"/>
        <v>0.68688001592691972</v>
      </c>
      <c r="V56" s="2"/>
      <c r="W56" s="2">
        <v>0</v>
      </c>
      <c r="X56" s="2"/>
      <c r="Y56" s="2"/>
      <c r="Z56" s="2"/>
      <c r="AA56" s="2"/>
      <c r="AB56" s="2"/>
      <c r="AC56" s="3">
        <v>183489.05</v>
      </c>
      <c r="AD56" s="47">
        <f t="shared" si="5"/>
        <v>2.9283095862777766</v>
      </c>
      <c r="AE56" s="2">
        <f>106016.64</f>
        <v>106016.64</v>
      </c>
      <c r="AF56" s="2">
        <v>63398.084001163901</v>
      </c>
      <c r="AG56" s="2"/>
      <c r="AH56" s="2">
        <v>2088.6000000000004</v>
      </c>
      <c r="AI56" s="2"/>
      <c r="AJ56" s="49">
        <v>17858.298000000003</v>
      </c>
      <c r="AK56" s="49">
        <v>4386.7739999999994</v>
      </c>
      <c r="AL56" s="49">
        <v>42922.373999999996</v>
      </c>
      <c r="AM56" s="3">
        <v>25510.559544560678</v>
      </c>
      <c r="AN56" s="2">
        <v>230449.17297311075</v>
      </c>
      <c r="AO56" s="2"/>
      <c r="AP56" s="2">
        <f t="shared" si="6"/>
        <v>987097.86363438377</v>
      </c>
      <c r="AQ56" s="50"/>
      <c r="AR56" s="50"/>
    </row>
    <row r="57" spans="1:44">
      <c r="A57" s="1" t="s">
        <v>53</v>
      </c>
      <c r="B57" s="2">
        <v>2582.6999999999998</v>
      </c>
      <c r="C57" s="2">
        <v>11</v>
      </c>
      <c r="D57" s="47">
        <v>93335.911811293321</v>
      </c>
      <c r="E57" s="48">
        <v>42675.534795703497</v>
      </c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 t="e">
        <f>B57*#REF!</f>
        <v>#REF!</v>
      </c>
      <c r="S57" s="2">
        <v>1</v>
      </c>
      <c r="T57" s="2">
        <v>21288.060205613467</v>
      </c>
      <c r="U57" s="47">
        <f t="shared" si="4"/>
        <v>0.68688001592691972</v>
      </c>
      <c r="V57" s="2"/>
      <c r="W57" s="2">
        <v>0</v>
      </c>
      <c r="X57" s="2"/>
      <c r="Y57" s="2"/>
      <c r="Z57" s="2"/>
      <c r="AA57" s="2"/>
      <c r="AB57" s="2"/>
      <c r="AC57" s="2">
        <v>91205.119999999995</v>
      </c>
      <c r="AD57" s="47">
        <f t="shared" si="5"/>
        <v>2.9428221112272688</v>
      </c>
      <c r="AE57" s="2">
        <f>49587.84</f>
        <v>49587.839999999997</v>
      </c>
      <c r="AF57" s="2">
        <v>31356.934872391372</v>
      </c>
      <c r="AG57" s="2"/>
      <c r="AH57" s="2">
        <v>1161.1200000000001</v>
      </c>
      <c r="AI57" s="2"/>
      <c r="AJ57" s="49">
        <v>9452.6820000000007</v>
      </c>
      <c r="AK57" s="49">
        <v>2169.8339999999998</v>
      </c>
      <c r="AL57" s="49">
        <v>22624.451999999997</v>
      </c>
      <c r="AM57" s="3">
        <v>12617.753248125489</v>
      </c>
      <c r="AN57" s="2">
        <v>113982.24314641842</v>
      </c>
      <c r="AO57" s="2"/>
      <c r="AP57" s="2">
        <f t="shared" si="6"/>
        <v>491457.48607954558</v>
      </c>
      <c r="AQ57" s="50"/>
      <c r="AR57" s="50"/>
    </row>
    <row r="58" spans="1:44" ht="12.75" customHeight="1">
      <c r="A58" s="1" t="s">
        <v>54</v>
      </c>
      <c r="B58" s="2">
        <v>7763.5</v>
      </c>
      <c r="C58" s="2">
        <v>12</v>
      </c>
      <c r="D58" s="47">
        <v>339631.05725339206</v>
      </c>
      <c r="E58" s="48">
        <v>128281.06802433272</v>
      </c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>
        <f>19437.9*4</f>
        <v>77751.600000000006</v>
      </c>
      <c r="R58" s="2" t="e">
        <f>B58*#REF!</f>
        <v>#REF!</v>
      </c>
      <c r="S58" s="2">
        <v>6</v>
      </c>
      <c r="T58" s="2">
        <v>125025.40884378369</v>
      </c>
      <c r="U58" s="47">
        <f t="shared" si="4"/>
        <v>1.3420215199736341</v>
      </c>
      <c r="V58" s="2">
        <v>30</v>
      </c>
      <c r="W58" s="2">
        <f t="shared" si="3"/>
        <v>5400</v>
      </c>
      <c r="X58" s="2"/>
      <c r="Y58" s="2"/>
      <c r="Z58" s="2"/>
      <c r="AA58" s="2"/>
      <c r="AB58" s="2"/>
      <c r="AC58" s="2">
        <v>289716.74</v>
      </c>
      <c r="AD58" s="47">
        <f t="shared" si="5"/>
        <v>3.1098166634464697</v>
      </c>
      <c r="AE58" s="2">
        <f>9400*12+166759.98+4347.02</f>
        <v>283907</v>
      </c>
      <c r="AF58" s="2">
        <v>94309.690570074119</v>
      </c>
      <c r="AG58" s="2"/>
      <c r="AH58" s="2">
        <v>1605.72</v>
      </c>
      <c r="AI58" s="2">
        <v>698873.28000000014</v>
      </c>
      <c r="AJ58" s="49">
        <v>33434.79</v>
      </c>
      <c r="AK58" s="49">
        <v>7894.4699999999993</v>
      </c>
      <c r="AL58" s="49">
        <v>257592.93</v>
      </c>
      <c r="AM58" s="3">
        <v>37928.496279793333</v>
      </c>
      <c r="AN58" s="2">
        <v>342626.37730561796</v>
      </c>
      <c r="AO58" s="2"/>
      <c r="AP58" s="2">
        <f t="shared" si="6"/>
        <v>2646227.0282769939</v>
      </c>
      <c r="AQ58" s="50"/>
      <c r="AR58" s="50"/>
    </row>
    <row r="59" spans="1:44">
      <c r="A59" s="1" t="s">
        <v>55</v>
      </c>
      <c r="B59" s="2">
        <v>1964.8</v>
      </c>
      <c r="C59" s="2">
        <v>8</v>
      </c>
      <c r="D59" s="47">
        <v>57646.414811518618</v>
      </c>
      <c r="E59" s="48">
        <v>32465.59444248199</v>
      </c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 t="e">
        <f>B59*#REF!</f>
        <v>#REF!</v>
      </c>
      <c r="S59" s="2">
        <v>1</v>
      </c>
      <c r="T59" s="2">
        <v>16194.982263518541</v>
      </c>
      <c r="U59" s="47">
        <f t="shared" si="4"/>
        <v>0.68688001592691972</v>
      </c>
      <c r="V59" s="2"/>
      <c r="W59" s="2">
        <v>0</v>
      </c>
      <c r="X59" s="2"/>
      <c r="Y59" s="2"/>
      <c r="Z59" s="2"/>
      <c r="AA59" s="2"/>
      <c r="AB59" s="2"/>
      <c r="AC59" s="2">
        <v>78652.76999999999</v>
      </c>
      <c r="AD59" s="47">
        <f t="shared" si="5"/>
        <v>3.3359107797231267</v>
      </c>
      <c r="AE59" s="2">
        <f>2350*12+42203.9+1086.74</f>
        <v>71490.64</v>
      </c>
      <c r="AF59" s="2">
        <v>23879.555247916742</v>
      </c>
      <c r="AG59" s="2"/>
      <c r="AH59" s="2">
        <v>542.28</v>
      </c>
      <c r="AI59" s="2">
        <v>185176.32000000004</v>
      </c>
      <c r="AJ59" s="49">
        <v>8016.3600000000006</v>
      </c>
      <c r="AK59" s="49">
        <v>226.33920000000003</v>
      </c>
      <c r="AL59" s="49">
        <v>61537.535999999993</v>
      </c>
      <c r="AM59" s="3">
        <v>9599.0094017566735</v>
      </c>
      <c r="AN59" s="2">
        <v>86712.475833075048</v>
      </c>
      <c r="AO59" s="2"/>
      <c r="AP59" s="2">
        <f t="shared" si="6"/>
        <v>632140.27720026765</v>
      </c>
      <c r="AQ59" s="50"/>
      <c r="AR59" s="50"/>
    </row>
    <row r="60" spans="1:44">
      <c r="A60" s="1" t="s">
        <v>56</v>
      </c>
      <c r="B60" s="2">
        <v>2088.1</v>
      </c>
      <c r="C60" s="2">
        <v>7</v>
      </c>
      <c r="D60" s="47">
        <v>60845.253000209705</v>
      </c>
      <c r="E60" s="48">
        <v>34502.955901540437</v>
      </c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 t="e">
        <f>B60*#REF!</f>
        <v>#REF!</v>
      </c>
      <c r="S60" s="2">
        <v>2</v>
      </c>
      <c r="T60" s="2">
        <v>20955.289935084013</v>
      </c>
      <c r="U60" s="47">
        <f t="shared" si="4"/>
        <v>0.83629814724246987</v>
      </c>
      <c r="V60" s="2">
        <v>20</v>
      </c>
      <c r="W60" s="2">
        <f t="shared" si="3"/>
        <v>3600</v>
      </c>
      <c r="X60" s="2"/>
      <c r="Y60" s="2"/>
      <c r="Z60" s="2"/>
      <c r="AA60" s="2"/>
      <c r="AB60" s="2"/>
      <c r="AC60" s="2">
        <v>80629.240000000005</v>
      </c>
      <c r="AD60" s="47">
        <f t="shared" si="5"/>
        <v>3.2178072569959935</v>
      </c>
      <c r="AE60" s="2">
        <f>2350*12+44852.39+1086.74</f>
        <v>74139.13</v>
      </c>
      <c r="AF60" s="2">
        <v>25373.641013668028</v>
      </c>
      <c r="AG60" s="2"/>
      <c r="AH60" s="2">
        <v>447.36</v>
      </c>
      <c r="AI60" s="2">
        <v>187168.32000000004</v>
      </c>
      <c r="AJ60" s="49">
        <v>8644.89</v>
      </c>
      <c r="AK60" s="49">
        <v>2004.528</v>
      </c>
      <c r="AL60" s="49">
        <v>66025.721999999994</v>
      </c>
      <c r="AM60" s="3">
        <v>10201.390234022858</v>
      </c>
      <c r="AN60" s="2">
        <v>92154.072061809857</v>
      </c>
      <c r="AO60" s="2"/>
      <c r="AP60" s="2">
        <f t="shared" si="6"/>
        <v>666691.79214633489</v>
      </c>
      <c r="AQ60" s="50"/>
      <c r="AR60" s="50"/>
    </row>
    <row r="61" spans="1:44" ht="12.75" customHeight="1">
      <c r="A61" s="1" t="s">
        <v>57</v>
      </c>
      <c r="B61" s="2">
        <v>1979.1</v>
      </c>
      <c r="C61" s="2">
        <v>7</v>
      </c>
      <c r="D61" s="47">
        <v>58023.705472494134</v>
      </c>
      <c r="E61" s="48">
        <v>32701.882105616907</v>
      </c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 t="e">
        <f>B61*#REF!</f>
        <v>#REF!</v>
      </c>
      <c r="S61" s="2">
        <v>1</v>
      </c>
      <c r="T61" s="2">
        <v>16312.850874251601</v>
      </c>
      <c r="U61" s="47">
        <f t="shared" si="4"/>
        <v>0.68688001592691972</v>
      </c>
      <c r="V61" s="2"/>
      <c r="W61" s="2">
        <v>0</v>
      </c>
      <c r="X61" s="2"/>
      <c r="Y61" s="2"/>
      <c r="Z61" s="2"/>
      <c r="AA61" s="2"/>
      <c r="AB61" s="2"/>
      <c r="AC61" s="2">
        <v>77997.689999999988</v>
      </c>
      <c r="AD61" s="47">
        <f t="shared" si="5"/>
        <v>3.2842238896468086</v>
      </c>
      <c r="AE61" s="2">
        <f>2350*12+42523.96+1086.74</f>
        <v>71810.7</v>
      </c>
      <c r="AF61" s="2">
        <v>24051.232832752456</v>
      </c>
      <c r="AG61" s="2"/>
      <c r="AH61" s="2">
        <v>455.88</v>
      </c>
      <c r="AI61" s="2">
        <v>186600.6</v>
      </c>
      <c r="AJ61" s="49">
        <v>8076.09</v>
      </c>
      <c r="AK61" s="49">
        <v>1900.0680000000002</v>
      </c>
      <c r="AL61" s="49">
        <v>62104.157999999996</v>
      </c>
      <c r="AM61" s="3">
        <v>9668.8718989294757</v>
      </c>
      <c r="AN61" s="2">
        <v>87343.577423268944</v>
      </c>
      <c r="AO61" s="2"/>
      <c r="AP61" s="2">
        <f t="shared" si="6"/>
        <v>637047.30660731357</v>
      </c>
      <c r="AQ61" s="50"/>
      <c r="AR61" s="50"/>
    </row>
    <row r="62" spans="1:44">
      <c r="A62" s="1" t="s">
        <v>58</v>
      </c>
      <c r="B62" s="2">
        <v>5675.2</v>
      </c>
      <c r="C62" s="2">
        <v>11</v>
      </c>
      <c r="D62" s="47">
        <v>254587.63778799394</v>
      </c>
      <c r="E62" s="48">
        <v>93774.807400230959</v>
      </c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 t="e">
        <f>B62*#REF!</f>
        <v>#REF!</v>
      </c>
      <c r="S62" s="2">
        <v>2</v>
      </c>
      <c r="T62" s="2">
        <v>51645.377596661448</v>
      </c>
      <c r="U62" s="47">
        <f t="shared" si="4"/>
        <v>0.75834886283980374</v>
      </c>
      <c r="V62" s="2">
        <v>26</v>
      </c>
      <c r="W62" s="2">
        <f t="shared" si="3"/>
        <v>4680</v>
      </c>
      <c r="X62" s="2"/>
      <c r="Y62" s="52"/>
      <c r="Z62" s="2"/>
      <c r="AA62" s="2"/>
      <c r="AB62" s="2"/>
      <c r="AC62" s="2">
        <v>206446.21000000002</v>
      </c>
      <c r="AD62" s="47">
        <f t="shared" si="5"/>
        <v>3.0314087315571849</v>
      </c>
      <c r="AE62" s="2">
        <f>7050*12+121903.3+3260.26</f>
        <v>209763.56</v>
      </c>
      <c r="AF62" s="2">
        <v>68926.592471303476</v>
      </c>
      <c r="AG62" s="2"/>
      <c r="AH62" s="2">
        <v>1366.68</v>
      </c>
      <c r="AI62" s="2">
        <v>505649.28</v>
      </c>
      <c r="AJ62" s="49">
        <v>22479.648000000001</v>
      </c>
      <c r="AK62" s="49">
        <v>5449.5959999999995</v>
      </c>
      <c r="AL62" s="49">
        <v>174342.144</v>
      </c>
      <c r="AM62" s="3">
        <v>27726.128947907917</v>
      </c>
      <c r="AN62" s="2">
        <v>250463.47864814106</v>
      </c>
      <c r="AO62" s="2"/>
      <c r="AP62" s="2">
        <f t="shared" si="6"/>
        <v>1877301.140852239</v>
      </c>
      <c r="AQ62" s="50"/>
      <c r="AR62" s="50"/>
    </row>
    <row r="63" spans="1:44">
      <c r="A63" s="1" t="s">
        <v>61</v>
      </c>
      <c r="B63" s="4">
        <f>SUM(B3:B62)</f>
        <v>350567.89000000007</v>
      </c>
      <c r="C63" s="4"/>
      <c r="D63" s="53">
        <f>SUM(D3:D62)</f>
        <v>12288449.986799996</v>
      </c>
      <c r="E63" s="51">
        <f>SUM(E3:E62)</f>
        <v>5792648.076799999</v>
      </c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51" t="e">
        <f>SUM(R3:R62)</f>
        <v>#REF!</v>
      </c>
      <c r="S63" s="51"/>
      <c r="T63" s="51">
        <f>SUM(T3:T62)</f>
        <v>3429345.5507999989</v>
      </c>
      <c r="U63" s="53"/>
      <c r="V63" s="2">
        <f t="shared" ref="V63:AC63" si="7">SUM(V3:V62)</f>
        <v>616</v>
      </c>
      <c r="W63" s="51">
        <f t="shared" si="7"/>
        <v>110880</v>
      </c>
      <c r="X63" s="2">
        <f t="shared" si="7"/>
        <v>0</v>
      </c>
      <c r="Y63" s="2">
        <f t="shared" si="7"/>
        <v>0</v>
      </c>
      <c r="Z63" s="2">
        <f t="shared" si="7"/>
        <v>0</v>
      </c>
      <c r="AA63" s="2">
        <f t="shared" si="7"/>
        <v>0</v>
      </c>
      <c r="AB63" s="54">
        <f t="shared" si="7"/>
        <v>0</v>
      </c>
      <c r="AC63" s="4">
        <f t="shared" si="7"/>
        <v>12723221.130000001</v>
      </c>
      <c r="AD63" s="5"/>
      <c r="AE63" s="55">
        <f t="shared" ref="AE63:AN63" si="8">SUM(AE3:AE62)</f>
        <v>8197339.21</v>
      </c>
      <c r="AF63" s="5">
        <f t="shared" si="8"/>
        <v>4257520.0303999986</v>
      </c>
      <c r="AG63" s="5">
        <f t="shared" si="8"/>
        <v>757970.14999999991</v>
      </c>
      <c r="AH63" s="5">
        <f t="shared" si="8"/>
        <v>121149.95999999999</v>
      </c>
      <c r="AI63" s="56">
        <f t="shared" si="8"/>
        <v>10561389.779999999</v>
      </c>
      <c r="AJ63" s="57">
        <f t="shared" si="8"/>
        <v>1187482.3814000003</v>
      </c>
      <c r="AK63" s="58">
        <f t="shared" si="8"/>
        <v>292808.15839999996</v>
      </c>
      <c r="AL63" s="58">
        <f t="shared" si="8"/>
        <v>5431129.0055999989</v>
      </c>
      <c r="AM63" s="6">
        <f t="shared" si="8"/>
        <v>1712695.68</v>
      </c>
      <c r="AN63" s="51">
        <f t="shared" si="8"/>
        <v>15471605.094399998</v>
      </c>
      <c r="AO63" s="2"/>
      <c r="AP63" s="2">
        <f>SUM(AP3:AP62)</f>
        <v>82335634.194599986</v>
      </c>
    </row>
  </sheetData>
  <mergeCells count="30">
    <mergeCell ref="AP1:AP2"/>
    <mergeCell ref="AH1:AH2"/>
    <mergeCell ref="AG1:AG2"/>
    <mergeCell ref="AC1:AC2"/>
    <mergeCell ref="AD1:AD2"/>
    <mergeCell ref="AM1:AM2"/>
    <mergeCell ref="AN1:AN2"/>
    <mergeCell ref="AE1:AE2"/>
    <mergeCell ref="AF1:AF2"/>
    <mergeCell ref="AK1:AK2"/>
    <mergeCell ref="AI1:AI2"/>
    <mergeCell ref="AO1:AO2"/>
    <mergeCell ref="AJ1:AJ2"/>
    <mergeCell ref="AL1:AL2"/>
    <mergeCell ref="V1:W1"/>
    <mergeCell ref="X1:Y1"/>
    <mergeCell ref="A1:A2"/>
    <mergeCell ref="B1:B2"/>
    <mergeCell ref="E1:E2"/>
    <mergeCell ref="D1:D2"/>
    <mergeCell ref="F1:K1"/>
    <mergeCell ref="U1:U2"/>
    <mergeCell ref="C1:C2"/>
    <mergeCell ref="S1:S2"/>
    <mergeCell ref="L1:L2"/>
    <mergeCell ref="R1:R2"/>
    <mergeCell ref="M1:N1"/>
    <mergeCell ref="T1:T2"/>
    <mergeCell ref="O1:P1"/>
    <mergeCell ref="Q1:Q2"/>
  </mergeCells>
  <phoneticPr fontId="2" type="noConversion"/>
  <pageMargins left="0.16" right="0.2" top="0.33" bottom="0.19" header="0.17" footer="0.16"/>
  <pageSetup paperSize="9" scale="58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2019</vt:lpstr>
      <vt:lpstr>'план 2019'!Область_печати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Наташа</dc:creator>
  <cp:lastModifiedBy>Пользователь</cp:lastModifiedBy>
  <cp:lastPrinted>2018-06-22T10:33:41Z</cp:lastPrinted>
  <dcterms:created xsi:type="dcterms:W3CDTF">2009-11-10T06:40:39Z</dcterms:created>
  <dcterms:modified xsi:type="dcterms:W3CDTF">2023-01-17T10:44:42Z</dcterms:modified>
</cp:coreProperties>
</file>